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USTADO" sheetId="1" r:id="rId4"/>
  </sheets>
  <definedNames/>
  <calcPr/>
  <extLst>
    <ext uri="GoogleSheetsCustomDataVersion2">
      <go:sheetsCustomData xmlns:go="http://customooxmlschemas.google.com/" r:id="rId5" roundtripDataChecksum="UwKnZtBRzxHmI3WxcuG0t3LQJ3Z8TEDG8ZKaaG9d760="/>
    </ext>
  </extLst>
</workbook>
</file>

<file path=xl/sharedStrings.xml><?xml version="1.0" encoding="utf-8"?>
<sst xmlns="http://schemas.openxmlformats.org/spreadsheetml/2006/main" count="287" uniqueCount="122">
  <si>
    <t>RUBRO</t>
  </si>
  <si>
    <t>ROL</t>
  </si>
  <si>
    <t>Fecha Inicio</t>
  </si>
  <si>
    <t>Fecha Final</t>
  </si>
  <si>
    <t>Temporal</t>
  </si>
  <si>
    <t>Área</t>
  </si>
  <si>
    <t>HONORARIOS 2023</t>
  </si>
  <si>
    <t>#MESES ESTIMADOS</t>
  </si>
  <si>
    <t>VALOR A CONTRATAR</t>
  </si>
  <si>
    <t>HACIENDA  2023</t>
  </si>
  <si>
    <t>PLAN DE INVERSIÓN 2023</t>
  </si>
  <si>
    <t>PROYECTOS ADIONALES  FUTIC 2023</t>
  </si>
  <si>
    <t>CULTURA CIUDADANIA Y EDUCACIÓN - CCE/EUREKA</t>
  </si>
  <si>
    <t>PRODUCCIÓN TRANSMISIONES</t>
  </si>
  <si>
    <t>4.2.1.5.02.09//4230116055007505</t>
  </si>
  <si>
    <t>PRODUCTOR EVENTOS 1 (movil 1)</t>
  </si>
  <si>
    <t>Producción-A</t>
  </si>
  <si>
    <t>PRODUCTOR EVENTOS 2 (movil 2)</t>
  </si>
  <si>
    <t>PRODUCTOR DE EVENTOS 3</t>
  </si>
  <si>
    <t>ASISTENTE DE PRODUCCIÓN 1</t>
  </si>
  <si>
    <t>ASISTENTE DE PRODUCCIÓN 2</t>
  </si>
  <si>
    <t>ASISTENTE DE PRODUCCIÓN 3</t>
  </si>
  <si>
    <t>ÁREAS TRANSVERSALES DE PRODUCIÓN DE CONTENIDOS</t>
  </si>
  <si>
    <t xml:space="preserve"> </t>
  </si>
  <si>
    <t>DEFENSOR DE LAS AUDIENCIAS</t>
  </si>
  <si>
    <t>4.2.4.5.02.09</t>
  </si>
  <si>
    <t xml:space="preserve">EDITOR PRODUCCION GENERAL </t>
  </si>
  <si>
    <t>PROYECTOS PERIODÍSTICOS</t>
  </si>
  <si>
    <t>CAPITAL AHORA -MESA CAPITAL</t>
  </si>
  <si>
    <t>PRESENTADOR DIRECTOR</t>
  </si>
  <si>
    <t>GRAFICO Y EDITOR</t>
  </si>
  <si>
    <t>CAPITAL AHORA - CRONICAS</t>
  </si>
  <si>
    <t>EDITOR DE VIDEO</t>
  </si>
  <si>
    <t>CAPITAL AHORA - PRODUCCIÓN</t>
  </si>
  <si>
    <t xml:space="preserve">CAMARA 1   </t>
  </si>
  <si>
    <t xml:space="preserve">CAMARA 2  </t>
  </si>
  <si>
    <t xml:space="preserve">CAMARA 3  </t>
  </si>
  <si>
    <t>CAPITAL AHORA - POSTPRODUCCIÓN</t>
  </si>
  <si>
    <t xml:space="preserve">EDITOR 1  </t>
  </si>
  <si>
    <t xml:space="preserve">EDITOR 2 </t>
  </si>
  <si>
    <t xml:space="preserve">EDITOR 3   </t>
  </si>
  <si>
    <t>EDITOR 4</t>
  </si>
  <si>
    <t>EDITOR 5</t>
  </si>
  <si>
    <t>EDITOR WEB (AHORA) 5</t>
  </si>
  <si>
    <t xml:space="preserve">GRAFICO 1  </t>
  </si>
  <si>
    <t>GRAFICO 2</t>
  </si>
  <si>
    <t>GRAFICO 3</t>
  </si>
  <si>
    <t>GRAFICO 4</t>
  </si>
  <si>
    <t>MOTIONS GRAPHICS 2 (con equipo)</t>
  </si>
  <si>
    <t>RECURSOS TÉCNICOS TRANSVERSALES</t>
  </si>
  <si>
    <t>UNIDADES TÉCNICAS</t>
  </si>
  <si>
    <t xml:space="preserve">DIRECTOR DE CAMARAS 1 </t>
  </si>
  <si>
    <t>Técnica</t>
  </si>
  <si>
    <t>DIRECTOR DE CAMARAS 2</t>
  </si>
  <si>
    <t>DIRECTOR DE CAMARAS 3</t>
  </si>
  <si>
    <t>CAMAROGRAFO 1</t>
  </si>
  <si>
    <t>CAMAROGRAFO 2</t>
  </si>
  <si>
    <t>CAMAROGRAFO 3</t>
  </si>
  <si>
    <t>CAMAROGRAFO 4</t>
  </si>
  <si>
    <t>CAMAROGRAFO 5</t>
  </si>
  <si>
    <t>CAMAROGRAFO 6</t>
  </si>
  <si>
    <t>CAMAROGRAFO 7</t>
  </si>
  <si>
    <t>CAMAROGRAFO 8</t>
  </si>
  <si>
    <t>CAMAROGRAFO 9</t>
  </si>
  <si>
    <t>CAMAROGRAFO 10</t>
  </si>
  <si>
    <t>CAMAROGRAFO - OPERADOR GRUA</t>
  </si>
  <si>
    <t>ASISTENTE GENERAL 1</t>
  </si>
  <si>
    <t>ASISTENTE GENERAL 2</t>
  </si>
  <si>
    <t>ASISTENTE GENERAL 3</t>
  </si>
  <si>
    <t>ASISTENTE GENERAL 4</t>
  </si>
  <si>
    <t>ASISTENTE GENERAL 5</t>
  </si>
  <si>
    <t>ASISTENTE GENERAL 6</t>
  </si>
  <si>
    <t>ASISTENTE DE ESTUDIO</t>
  </si>
  <si>
    <t>CONDUCTOR ASISTENTE 1</t>
  </si>
  <si>
    <t>CONDUCTOR ASISTENTE 2</t>
  </si>
  <si>
    <t>OPERADOR DE VTR 1</t>
  </si>
  <si>
    <t>OPERADOR DE VTR 2</t>
  </si>
  <si>
    <t>OPERADOR DE VTR 3</t>
  </si>
  <si>
    <t>OPERADOR DE VIDEO 1</t>
  </si>
  <si>
    <t>OPERADOR DE VIDEO 2</t>
  </si>
  <si>
    <t>OPERADOR DE VIDEO 3</t>
  </si>
  <si>
    <t>SONIDISTA 1</t>
  </si>
  <si>
    <t>SONIDISTA 2</t>
  </si>
  <si>
    <t>SONIDISTA 3</t>
  </si>
  <si>
    <t>ASISTENTE DE SONIDO 1</t>
  </si>
  <si>
    <t>ASISTENTE DE SONIDO 2</t>
  </si>
  <si>
    <t>ASISTENTE DE SONIDO 3</t>
  </si>
  <si>
    <t>ASISTENTE DE SONIDO 4</t>
  </si>
  <si>
    <t>ASISTENTE DE SONIDO DE ESTUDIO</t>
  </si>
  <si>
    <t>GENERADOR DE CARACTERES 1</t>
  </si>
  <si>
    <t>GENERADOR DE CARACTERES 2</t>
  </si>
  <si>
    <t>GENERADOR DE CARACTERES 3</t>
  </si>
  <si>
    <t>SOPORTE TÉCNICO</t>
  </si>
  <si>
    <t>TRANSMISIÓN DE SEÑAL</t>
  </si>
  <si>
    <t>OPERADOR EQUIPOS DE TRANSMSIÓN 1</t>
  </si>
  <si>
    <t>OPERADOR EQUIPOS DE TRANSMSIÓN 2</t>
  </si>
  <si>
    <t>OPERADOR EQUIPOS DE TRANSMSIÓN 3</t>
  </si>
  <si>
    <t>OPERADOR EQUIPOS DE TRANSMSIÓN 4</t>
  </si>
  <si>
    <t>FOTOGRAFÍA</t>
  </si>
  <si>
    <t>DIRECTOR DE FOTOGRAFIA</t>
  </si>
  <si>
    <t>LUMINOTÉCNICO 1</t>
  </si>
  <si>
    <t>LUMINOTÉCNICO 2</t>
  </si>
  <si>
    <t>LUMINOTÉCNICO 3</t>
  </si>
  <si>
    <t>ASISTENTE DE LUCES 1</t>
  </si>
  <si>
    <t>ASISTENTE DE LUCES 2</t>
  </si>
  <si>
    <t>ASISTENTE DE LUCES 3</t>
  </si>
  <si>
    <t>ASISTENTE DE LUCES PROVISIONAL</t>
  </si>
  <si>
    <t>SUBTOTAL</t>
  </si>
  <si>
    <t>4XMIL</t>
  </si>
  <si>
    <t>TOTAL</t>
  </si>
  <si>
    <t>GASTOS  TEMPORAL DE SERVICIOS</t>
  </si>
  <si>
    <t xml:space="preserve">COMISIÓN </t>
  </si>
  <si>
    <t>I.V.A</t>
  </si>
  <si>
    <t>EXTRAS E IMPREVISTOS</t>
  </si>
  <si>
    <t>Auxilios de transporte</t>
  </si>
  <si>
    <t>** Proyección de cómisión caldulada al 8.97%</t>
  </si>
  <si>
    <t>VALOR DE CADA CDP</t>
  </si>
  <si>
    <t>HACIENDA</t>
  </si>
  <si>
    <t>RESOLUCIÓN DE INVERSION</t>
  </si>
  <si>
    <t>RESOLUCIÓN PROYECTOS ADICIONALES</t>
  </si>
  <si>
    <t>Profesional de sistemas (orpago)</t>
  </si>
  <si>
    <t>TOTAL TEMPORAL POR 3 MESES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</si>
</sst>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_-&quot;$&quot;\ * #,##0_-;\-&quot;$&quot;\ * #,##0_-;_-&quot;$&quot;\ * &quot;-&quot;??_-;_-@"/>
    <numFmt numFmtId="165" formatCode="D/M/YYYY"/>
    <numFmt numFmtId="166" formatCode="_-* #,##0_-;\-* #,##0_-;_-* &quot;-&quot;??_-;_-@"/>
    <numFmt numFmtId="167" formatCode="_-* #,##0.00_-;\-* #,##0.00_-;_-* &quot;-&quot;??_-;_-@"/>
    <numFmt numFmtId="168" formatCode="&quot;$&quot;\ #,##0;[Red]\-&quot;$&quot;\ #,##0"/>
    <numFmt numFmtId="169" formatCode="d/m/yyyy"/>
    <numFmt numFmtId="170" formatCode="_-&quot;$&quot;\ * #,##0.000_-;\-&quot;$&quot;\ * #,##0.000_-;_-&quot;$&quot;\ * &quot;-&quot;??_-;_-@"/>
    <numFmt numFmtId="171" formatCode="[$ $]#,##0"/>
  </numFmts>
  <fonts count="22">
    <font>
      <sz val="11.0"/>
      <color theme="1"/>
      <name val="Calibri"/>
      <scheme val="minor"/>
    </font>
    <font>
      <sz val="11.0"/>
      <color rgb="FFFFFFFF"/>
      <name val="Calibri"/>
    </font>
    <font>
      <b/>
      <sz val="11.0"/>
      <color rgb="FFFFFFFF"/>
      <name val="Calibri"/>
    </font>
    <font>
      <sz val="11.0"/>
      <color theme="0"/>
      <name val="Calibri"/>
    </font>
    <font>
      <b/>
      <sz val="11.0"/>
      <color theme="0"/>
      <name val="Calibri"/>
    </font>
    <font>
      <b/>
      <sz val="11.0"/>
      <color rgb="FF000000"/>
      <name val="Arial"/>
    </font>
    <font>
      <b/>
      <sz val="11.0"/>
      <color rgb="FFD6E3BC"/>
      <name val="Calibri"/>
    </font>
    <font>
      <sz val="11.0"/>
      <color theme="1"/>
      <name val="Calibri"/>
    </font>
    <font>
      <sz val="9.0"/>
      <color rgb="FF000000"/>
      <name val="Tahoma"/>
    </font>
    <font>
      <sz val="11.0"/>
      <color rgb="FF000000"/>
      <name val="Calibri"/>
    </font>
    <font>
      <sz val="11.0"/>
      <color rgb="FF000000"/>
      <name val="Arial"/>
    </font>
    <font>
      <b/>
      <sz val="11.0"/>
      <color rgb="FF000000"/>
      <name val="Calibri"/>
    </font>
    <font>
      <b/>
      <sz val="11.0"/>
      <color rgb="FFFDE9D9"/>
      <name val="Calibri"/>
    </font>
    <font>
      <b/>
      <sz val="10.0"/>
      <color rgb="FFFFFFFF"/>
      <name val="Calibri"/>
    </font>
    <font/>
    <font>
      <b/>
      <sz val="10.0"/>
      <color theme="1"/>
      <name val="Calibri"/>
    </font>
    <font>
      <sz val="10.0"/>
      <color theme="1"/>
      <name val="Calibri"/>
    </font>
    <font>
      <b/>
      <sz val="10.0"/>
      <color theme="0"/>
      <name val="Calibri"/>
    </font>
    <font>
      <sz val="10.0"/>
      <color theme="0"/>
      <name val="Calibri"/>
    </font>
    <font>
      <sz val="11.0"/>
      <color rgb="FFFF0000"/>
      <name val="Calibri"/>
    </font>
    <font>
      <color theme="1"/>
      <name val="Calibri"/>
      <scheme val="minor"/>
    </font>
    <font>
      <b/>
      <sz val="11.0"/>
      <color theme="1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7F7F7F"/>
        <bgColor rgb="FF7F7F7F"/>
      </patternFill>
    </fill>
    <fill>
      <patternFill patternType="solid">
        <fgColor rgb="FF666666"/>
        <bgColor rgb="FF666666"/>
      </patternFill>
    </fill>
    <fill>
      <patternFill patternType="solid">
        <fgColor rgb="FFFF0000"/>
        <bgColor rgb="FFFF0000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205867"/>
        <bgColor rgb="FF205867"/>
      </patternFill>
    </fill>
    <fill>
      <patternFill patternType="solid">
        <fgColor rgb="FF134F5C"/>
        <bgColor rgb="FF134F5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9000"/>
        <bgColor rgb="FFBF9000"/>
      </patternFill>
    </fill>
  </fills>
  <borders count="20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CCCCCC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2" fillId="3" fontId="2" numFmtId="0" xfId="0" applyAlignment="1" applyBorder="1" applyFill="1" applyFont="1">
      <alignment horizontal="center" shrinkToFit="0" vertical="center" wrapText="1"/>
    </xf>
    <xf borderId="2" fillId="4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shrinkToFit="0" vertical="center" wrapText="1"/>
    </xf>
    <xf borderId="3" fillId="5" fontId="2" numFmtId="0" xfId="0" applyAlignment="1" applyBorder="1" applyFill="1" applyFont="1">
      <alignment horizontal="center" shrinkToFit="0" vertical="center" wrapText="1"/>
    </xf>
    <xf borderId="4" fillId="6" fontId="2" numFmtId="0" xfId="0" applyAlignment="1" applyBorder="1" applyFill="1" applyFont="1">
      <alignment horizontal="center" shrinkToFit="0" vertical="center" wrapText="1"/>
    </xf>
    <xf borderId="4" fillId="7" fontId="2" numFmtId="0" xfId="0" applyAlignment="1" applyBorder="1" applyFill="1" applyFont="1">
      <alignment horizontal="center" shrinkToFit="0" vertical="center" wrapText="1"/>
    </xf>
    <xf borderId="1" fillId="8" fontId="3" numFmtId="0" xfId="0" applyAlignment="1" applyBorder="1" applyFill="1" applyFont="1">
      <alignment shrinkToFit="0" wrapText="1"/>
    </xf>
    <xf borderId="5" fillId="8" fontId="3" numFmtId="0" xfId="0" applyAlignment="1" applyBorder="1" applyFont="1">
      <alignment shrinkToFit="0" wrapText="1"/>
    </xf>
    <xf borderId="6" fillId="9" fontId="2" numFmtId="0" xfId="0" applyAlignment="1" applyBorder="1" applyFill="1" applyFont="1">
      <alignment horizontal="center" shrinkToFit="0" wrapText="1"/>
    </xf>
    <xf borderId="7" fillId="9" fontId="2" numFmtId="0" xfId="0" applyAlignment="1" applyBorder="1" applyFont="1">
      <alignment horizontal="center" shrinkToFit="0" wrapText="1"/>
    </xf>
    <xf borderId="8" fillId="9" fontId="2" numFmtId="0" xfId="0" applyAlignment="1" applyBorder="1" applyFont="1">
      <alignment horizontal="center" shrinkToFit="0" wrapText="1"/>
    </xf>
    <xf borderId="5" fillId="8" fontId="4" numFmtId="0" xfId="0" applyAlignment="1" applyBorder="1" applyFont="1">
      <alignment horizontal="center" shrinkToFit="0" wrapText="1"/>
    </xf>
    <xf borderId="6" fillId="8" fontId="4" numFmtId="164" xfId="0" applyAlignment="1" applyBorder="1" applyFont="1" applyNumberFormat="1">
      <alignment shrinkToFit="0" wrapText="1"/>
    </xf>
    <xf borderId="1" fillId="2" fontId="5" numFmtId="3" xfId="0" applyAlignment="1" applyBorder="1" applyFont="1" applyNumberFormat="1">
      <alignment horizontal="center" shrinkToFit="0" wrapText="1"/>
    </xf>
    <xf borderId="9" fillId="2" fontId="5" numFmtId="3" xfId="0" applyAlignment="1" applyBorder="1" applyFont="1" applyNumberFormat="1">
      <alignment horizontal="center" shrinkToFit="0" wrapText="1"/>
    </xf>
    <xf borderId="9" fillId="3" fontId="6" numFmtId="0" xfId="0" applyAlignment="1" applyBorder="1" applyFont="1">
      <alignment horizontal="center" shrinkToFit="0" wrapText="1"/>
    </xf>
    <xf borderId="9" fillId="3" fontId="7" numFmtId="0" xfId="0" applyAlignment="1" applyBorder="1" applyFont="1">
      <alignment shrinkToFit="0" wrapText="1"/>
    </xf>
    <xf borderId="10" fillId="3" fontId="1" numFmtId="164" xfId="0" applyAlignment="1" applyBorder="1" applyFont="1" applyNumberFormat="1">
      <alignment horizontal="center" shrinkToFit="0" wrapText="1"/>
    </xf>
    <xf borderId="0" fillId="0" fontId="8" numFmtId="0" xfId="0" applyAlignment="1" applyFont="1">
      <alignment horizontal="right"/>
    </xf>
    <xf borderId="9" fillId="0" fontId="8" numFmtId="0" xfId="0" applyAlignment="1" applyBorder="1" applyFont="1">
      <alignment horizontal="right"/>
    </xf>
    <xf borderId="9" fillId="0" fontId="7" numFmtId="0" xfId="0" applyBorder="1" applyFont="1"/>
    <xf borderId="9" fillId="0" fontId="9" numFmtId="165" xfId="0" applyAlignment="1" applyBorder="1" applyFont="1" applyNumberFormat="1">
      <alignment horizontal="right" shrinkToFit="0" vertical="center" wrapText="1"/>
    </xf>
    <xf borderId="9" fillId="0" fontId="9" numFmtId="3" xfId="0" applyAlignment="1" applyBorder="1" applyFont="1" applyNumberFormat="1">
      <alignment horizontal="right" shrinkToFit="0" vertical="center" wrapText="1"/>
    </xf>
    <xf borderId="9" fillId="10" fontId="9" numFmtId="166" xfId="0" applyAlignment="1" applyBorder="1" applyFill="1" applyFont="1" applyNumberFormat="1">
      <alignment horizontal="center" shrinkToFit="0" vertical="center" wrapText="1"/>
    </xf>
    <xf borderId="9" fillId="10" fontId="9" numFmtId="167" xfId="0" applyAlignment="1" applyBorder="1" applyFont="1" applyNumberFormat="1">
      <alignment horizontal="right" shrinkToFit="0" vertical="center" wrapText="1"/>
    </xf>
    <xf borderId="10" fillId="10" fontId="9" numFmtId="164" xfId="0" applyAlignment="1" applyBorder="1" applyFont="1" applyNumberFormat="1">
      <alignment horizontal="right" shrinkToFit="0" vertical="center" wrapText="1"/>
    </xf>
    <xf borderId="11" fillId="0" fontId="9" numFmtId="164" xfId="0" applyAlignment="1" applyBorder="1" applyFont="1" applyNumberFormat="1">
      <alignment horizontal="right" shrinkToFit="0" vertical="center" wrapText="1"/>
    </xf>
    <xf borderId="9" fillId="0" fontId="9" numFmtId="168" xfId="0" applyAlignment="1" applyBorder="1" applyFont="1" applyNumberFormat="1">
      <alignment horizontal="right" shrinkToFit="0" vertical="center" wrapText="1"/>
    </xf>
    <xf borderId="12" fillId="10" fontId="9" numFmtId="164" xfId="0" applyAlignment="1" applyBorder="1" applyFont="1" applyNumberFormat="1">
      <alignment horizontal="right" shrinkToFit="0" vertical="center" wrapText="1"/>
    </xf>
    <xf borderId="9" fillId="0" fontId="7" numFmtId="0" xfId="0" applyAlignment="1" applyBorder="1" applyFont="1">
      <alignment shrinkToFit="0" wrapText="1"/>
    </xf>
    <xf borderId="1" fillId="8" fontId="7" numFmtId="0" xfId="0" applyAlignment="1" applyBorder="1" applyFont="1">
      <alignment shrinkToFit="0" wrapText="1"/>
    </xf>
    <xf borderId="9" fillId="8" fontId="7" numFmtId="0" xfId="0" applyAlignment="1" applyBorder="1" applyFont="1">
      <alignment shrinkToFit="0" wrapText="1"/>
    </xf>
    <xf borderId="9" fillId="8" fontId="2" numFmtId="0" xfId="0" applyAlignment="1" applyBorder="1" applyFont="1">
      <alignment horizontal="center" shrinkToFit="0" wrapText="1"/>
    </xf>
    <xf borderId="9" fillId="8" fontId="3" numFmtId="0" xfId="0" applyAlignment="1" applyBorder="1" applyFont="1">
      <alignment shrinkToFit="0" wrapText="1"/>
    </xf>
    <xf borderId="10" fillId="8" fontId="4" numFmtId="164" xfId="0" applyAlignment="1" applyBorder="1" applyFont="1" applyNumberFormat="1">
      <alignment shrinkToFit="0" wrapText="1"/>
    </xf>
    <xf borderId="1" fillId="3" fontId="10" numFmtId="3" xfId="0" applyAlignment="1" applyBorder="1" applyFont="1" applyNumberFormat="1">
      <alignment horizontal="right" shrinkToFit="0" wrapText="1"/>
    </xf>
    <xf borderId="9" fillId="3" fontId="10" numFmtId="3" xfId="0" applyAlignment="1" applyBorder="1" applyFont="1" applyNumberFormat="1">
      <alignment horizontal="right" shrinkToFit="0" wrapText="1"/>
    </xf>
    <xf borderId="9" fillId="3" fontId="2" numFmtId="164" xfId="0" applyAlignment="1" applyBorder="1" applyFont="1" applyNumberFormat="1">
      <alignment horizontal="center" shrinkToFit="0" wrapText="1"/>
    </xf>
    <xf borderId="1" fillId="10" fontId="8" numFmtId="0" xfId="0" applyAlignment="1" applyBorder="1" applyFont="1">
      <alignment horizontal="right"/>
    </xf>
    <xf borderId="9" fillId="10" fontId="8" numFmtId="0" xfId="0" applyAlignment="1" applyBorder="1" applyFont="1">
      <alignment horizontal="right"/>
    </xf>
    <xf borderId="9" fillId="10" fontId="9" numFmtId="0" xfId="0" applyBorder="1" applyFont="1"/>
    <xf borderId="9" fillId="10" fontId="9" numFmtId="3" xfId="0" applyAlignment="1" applyBorder="1" applyFont="1" applyNumberFormat="1">
      <alignment horizontal="right" shrinkToFit="0" vertical="center" wrapText="1"/>
    </xf>
    <xf borderId="11" fillId="10" fontId="9" numFmtId="168" xfId="0" applyAlignment="1" applyBorder="1" applyFont="1" applyNumberFormat="1">
      <alignment horizontal="right" shrinkToFit="0" vertical="center" wrapText="1"/>
    </xf>
    <xf borderId="9" fillId="10" fontId="9" numFmtId="168" xfId="0" applyAlignment="1" applyBorder="1" applyFont="1" applyNumberFormat="1">
      <alignment horizontal="right" shrinkToFit="0" vertical="center" wrapText="1"/>
    </xf>
    <xf borderId="12" fillId="10" fontId="9" numFmtId="168" xfId="0" applyAlignment="1" applyBorder="1" applyFont="1" applyNumberFormat="1">
      <alignment horizontal="right" shrinkToFit="0" vertical="center" wrapText="1"/>
    </xf>
    <xf borderId="1" fillId="10" fontId="7" numFmtId="0" xfId="0" applyBorder="1" applyFont="1"/>
    <xf borderId="1" fillId="3" fontId="7" numFmtId="0" xfId="0" applyAlignment="1" applyBorder="1" applyFont="1">
      <alignment shrinkToFit="0" wrapText="1"/>
    </xf>
    <xf borderId="10" fillId="3" fontId="2" numFmtId="164" xfId="0" applyAlignment="1" applyBorder="1" applyFont="1" applyNumberFormat="1">
      <alignment horizontal="center" shrinkToFit="0" wrapText="1"/>
    </xf>
    <xf borderId="13" fillId="0" fontId="9" numFmtId="0" xfId="0" applyBorder="1" applyFont="1"/>
    <xf borderId="9" fillId="10" fontId="9" numFmtId="166" xfId="0" applyAlignment="1" applyBorder="1" applyFont="1" applyNumberFormat="1">
      <alignment horizontal="center"/>
    </xf>
    <xf borderId="11" fillId="10" fontId="9" numFmtId="164" xfId="0" applyAlignment="1" applyBorder="1" applyFont="1" applyNumberFormat="1">
      <alignment horizontal="right" shrinkToFit="0" vertical="center" wrapText="1"/>
    </xf>
    <xf borderId="14" fillId="0" fontId="8" numFmtId="0" xfId="0" applyAlignment="1" applyBorder="1" applyFont="1">
      <alignment horizontal="right"/>
    </xf>
    <xf borderId="15" fillId="0" fontId="9" numFmtId="0" xfId="0" applyBorder="1" applyFont="1"/>
    <xf borderId="5" fillId="10" fontId="9" numFmtId="166" xfId="0" applyAlignment="1" applyBorder="1" applyFont="1" applyNumberFormat="1">
      <alignment horizontal="center"/>
    </xf>
    <xf borderId="16" fillId="0" fontId="9" numFmtId="0" xfId="0" applyBorder="1" applyFont="1"/>
    <xf borderId="17" fillId="0" fontId="9" numFmtId="0" xfId="0" applyBorder="1" applyFont="1"/>
    <xf borderId="9" fillId="10" fontId="7" numFmtId="0" xfId="0" applyAlignment="1" applyBorder="1" applyFont="1">
      <alignment shrinkToFit="0" wrapText="1"/>
    </xf>
    <xf borderId="9" fillId="0" fontId="11" numFmtId="165" xfId="0" applyAlignment="1" applyBorder="1" applyFont="1" applyNumberFormat="1">
      <alignment horizontal="right" shrinkToFit="0" vertical="center" wrapText="1"/>
    </xf>
    <xf borderId="9" fillId="3" fontId="3" numFmtId="164" xfId="0" applyAlignment="1" applyBorder="1" applyFont="1" applyNumberFormat="1">
      <alignment shrinkToFit="0" vertical="center" wrapText="1"/>
    </xf>
    <xf borderId="9" fillId="10" fontId="9" numFmtId="0" xfId="0" applyAlignment="1" applyBorder="1" applyFont="1">
      <alignment shrinkToFit="0" wrapText="1"/>
    </xf>
    <xf borderId="9" fillId="10" fontId="9" numFmtId="3" xfId="0" applyAlignment="1" applyBorder="1" applyFont="1" applyNumberFormat="1">
      <alignment horizontal="center" shrinkToFit="0" vertical="center" wrapText="1"/>
    </xf>
    <xf borderId="9" fillId="10" fontId="9" numFmtId="164" xfId="0" applyAlignment="1" applyBorder="1" applyFont="1" applyNumberFormat="1">
      <alignment horizontal="right" shrinkToFit="0" vertical="center" wrapText="1"/>
    </xf>
    <xf borderId="9" fillId="0" fontId="9" numFmtId="169" xfId="0" applyAlignment="1" applyBorder="1" applyFont="1" applyNumberFormat="1">
      <alignment horizontal="right" shrinkToFit="0" vertical="center" wrapText="1"/>
    </xf>
    <xf borderId="9" fillId="3" fontId="7" numFmtId="0" xfId="0" applyAlignment="1" applyBorder="1" applyFont="1">
      <alignment horizontal="center" shrinkToFit="0" wrapText="1"/>
    </xf>
    <xf borderId="9" fillId="10" fontId="7" numFmtId="164" xfId="0" applyAlignment="1" applyBorder="1" applyFont="1" applyNumberFormat="1">
      <alignment horizontal="right" shrinkToFit="0" wrapText="1"/>
    </xf>
    <xf borderId="9" fillId="3" fontId="3" numFmtId="164" xfId="0" applyAlignment="1" applyBorder="1" applyFont="1" applyNumberFormat="1">
      <alignment shrinkToFit="0" wrapText="1"/>
    </xf>
    <xf borderId="1" fillId="10" fontId="7" numFmtId="164" xfId="0" applyBorder="1" applyFont="1" applyNumberFormat="1"/>
    <xf borderId="1" fillId="10" fontId="7" numFmtId="168" xfId="0" applyBorder="1" applyFont="1" applyNumberFormat="1"/>
    <xf borderId="1" fillId="10" fontId="7" numFmtId="170" xfId="0" applyBorder="1" applyFont="1" applyNumberFormat="1"/>
    <xf borderId="1" fillId="11" fontId="7" numFmtId="0" xfId="0" applyAlignment="1" applyBorder="1" applyFill="1" applyFont="1">
      <alignment shrinkToFit="0" wrapText="1"/>
    </xf>
    <xf borderId="1" fillId="3" fontId="4" numFmtId="0" xfId="0" applyAlignment="1" applyBorder="1" applyFont="1">
      <alignment shrinkToFit="0" wrapText="1"/>
    </xf>
    <xf borderId="18" fillId="3" fontId="4" numFmtId="0" xfId="0" applyAlignment="1" applyBorder="1" applyFont="1">
      <alignment shrinkToFit="0" wrapText="1"/>
    </xf>
    <xf borderId="10" fillId="3" fontId="6" numFmtId="164" xfId="0" applyAlignment="1" applyBorder="1" applyFont="1" applyNumberFormat="1">
      <alignment horizontal="right" shrinkToFit="0" wrapText="1"/>
    </xf>
    <xf borderId="1" fillId="11" fontId="7" numFmtId="171" xfId="0" applyAlignment="1" applyBorder="1" applyFont="1" applyNumberFormat="1">
      <alignment shrinkToFit="0" wrapText="1"/>
    </xf>
    <xf borderId="11" fillId="3" fontId="12" numFmtId="168" xfId="0" applyAlignment="1" applyBorder="1" applyFont="1" applyNumberFormat="1">
      <alignment horizontal="right" shrinkToFit="0" wrapText="1"/>
    </xf>
    <xf borderId="9" fillId="3" fontId="12" numFmtId="168" xfId="0" applyAlignment="1" applyBorder="1" applyFont="1" applyNumberFormat="1">
      <alignment horizontal="right" shrinkToFit="0" wrapText="1"/>
    </xf>
    <xf borderId="12" fillId="3" fontId="12" numFmtId="168" xfId="0" applyAlignment="1" applyBorder="1" applyFont="1" applyNumberFormat="1">
      <alignment horizontal="right" shrinkToFit="0" wrapText="1"/>
    </xf>
    <xf borderId="10" fillId="3" fontId="12" numFmtId="168" xfId="0" applyAlignment="1" applyBorder="1" applyFont="1" applyNumberFormat="1">
      <alignment horizontal="right" shrinkToFit="0" wrapText="1"/>
    </xf>
    <xf borderId="0" fillId="0" fontId="9" numFmtId="0" xfId="0" applyAlignment="1" applyFont="1">
      <alignment horizontal="right"/>
    </xf>
    <xf borderId="0" fillId="0" fontId="9" numFmtId="171" xfId="0" applyAlignment="1" applyFont="1" applyNumberFormat="1">
      <alignment horizontal="right"/>
    </xf>
    <xf borderId="0" fillId="0" fontId="7" numFmtId="0" xfId="0" applyFont="1"/>
    <xf borderId="0" fillId="0" fontId="7" numFmtId="168" xfId="0" applyFont="1" applyNumberFormat="1"/>
    <xf borderId="19" fillId="12" fontId="13" numFmtId="0" xfId="0" applyAlignment="1" applyBorder="1" applyFill="1" applyFont="1">
      <alignment horizontal="center" shrinkToFit="0" wrapText="1"/>
    </xf>
    <xf borderId="17" fillId="0" fontId="14" numFmtId="0" xfId="0" applyBorder="1" applyFont="1"/>
    <xf borderId="13" fillId="0" fontId="14" numFmtId="0" xfId="0" applyBorder="1" applyFont="1"/>
    <xf borderId="19" fillId="10" fontId="15" numFmtId="0" xfId="0" applyAlignment="1" applyBorder="1" applyFont="1">
      <alignment shrinkToFit="0" wrapText="1"/>
    </xf>
    <xf borderId="9" fillId="0" fontId="16" numFmtId="168" xfId="0" applyAlignment="1" applyBorder="1" applyFont="1" applyNumberFormat="1">
      <alignment horizontal="right" shrinkToFit="0" wrapText="1"/>
    </xf>
    <xf borderId="19" fillId="12" fontId="17" numFmtId="0" xfId="0" applyAlignment="1" applyBorder="1" applyFont="1">
      <alignment shrinkToFit="0" wrapText="1"/>
    </xf>
    <xf borderId="10" fillId="12" fontId="18" numFmtId="168" xfId="0" applyAlignment="1" applyBorder="1" applyFont="1" applyNumberFormat="1">
      <alignment horizontal="right" shrinkToFit="0" wrapText="1"/>
    </xf>
    <xf borderId="0" fillId="0" fontId="19" numFmtId="0" xfId="0" applyFont="1"/>
    <xf borderId="0" fillId="0" fontId="7" numFmtId="0" xfId="0" applyAlignment="1" applyFont="1">
      <alignment horizontal="center"/>
    </xf>
    <xf borderId="9" fillId="0" fontId="16" numFmtId="164" xfId="0" applyAlignment="1" applyBorder="1" applyFont="1" applyNumberFormat="1">
      <alignment horizontal="right" shrinkToFit="0" wrapText="1"/>
    </xf>
    <xf borderId="0" fillId="0" fontId="7" numFmtId="171" xfId="0" applyFont="1" applyNumberFormat="1"/>
    <xf borderId="0" fillId="0" fontId="20" numFmtId="168" xfId="0" applyFont="1" applyNumberFormat="1"/>
    <xf borderId="19" fillId="10" fontId="15" numFmtId="0" xfId="0" applyBorder="1" applyFont="1"/>
    <xf borderId="9" fillId="0" fontId="16" numFmtId="164" xfId="0" applyAlignment="1" applyBorder="1" applyFont="1" applyNumberFormat="1">
      <alignment horizontal="right" readingOrder="0" shrinkToFit="0" wrapText="1"/>
    </xf>
    <xf borderId="9" fillId="12" fontId="18" numFmtId="168" xfId="0" applyAlignment="1" applyBorder="1" applyFont="1" applyNumberFormat="1">
      <alignment horizontal="right" shrinkToFit="0" wrapText="1"/>
    </xf>
    <xf borderId="0" fillId="0" fontId="7" numFmtId="0" xfId="0" applyAlignment="1" applyFont="1">
      <alignment horizontal="center" shrinkToFit="0" wrapText="1"/>
    </xf>
    <xf borderId="0" fillId="0" fontId="7" numFmtId="171" xfId="0" applyAlignment="1" applyFont="1" applyNumberFormat="1">
      <alignment horizontal="center" shrinkToFit="0" wrapText="1"/>
    </xf>
    <xf borderId="0" fillId="0" fontId="21" numFmtId="171" xfId="0" applyFont="1" applyNumberFormat="1"/>
    <xf borderId="0" fillId="0" fontId="7" numFmtId="171" xfId="0" applyAlignment="1" applyFont="1" applyNumberFormat="1">
      <alignment horizontal="right" shrinkToFit="0" wrapText="1"/>
    </xf>
    <xf borderId="0" fillId="0" fontId="7" numFmtId="9" xfId="0" applyFont="1" applyNumberFormat="1"/>
    <xf borderId="0" fillId="0" fontId="7" numFmtId="171" xfId="0" applyAlignment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23.43"/>
    <col customWidth="1" min="3" max="3" width="40.0"/>
    <col customWidth="1" min="4" max="4" width="13.14"/>
    <col customWidth="1" min="5" max="5" width="15.43"/>
    <col customWidth="1" min="6" max="6" width="7.0"/>
    <col customWidth="1" min="7" max="7" width="13.43"/>
    <col customWidth="1" min="8" max="8" width="14.0"/>
    <col customWidth="1" min="9" max="9" width="13.29"/>
    <col customWidth="1" min="10" max="10" width="23.57"/>
    <col customWidth="1" min="11" max="11" width="18.71"/>
    <col customWidth="1" min="12" max="12" width="20.43"/>
    <col customWidth="1" min="13" max="13" width="19.71"/>
    <col customWidth="1" min="14" max="14" width="2.0"/>
    <col customWidth="1" min="15" max="15" width="23.57"/>
    <col customWidth="1" min="16" max="16" width="2.86"/>
    <col customWidth="1" min="17" max="17" width="19.86"/>
    <col customWidth="1" min="18" max="24" width="64.0"/>
  </cols>
  <sheetData>
    <row r="1" ht="27.75" customHeight="1">
      <c r="A1" s="1"/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6</v>
      </c>
      <c r="I1" s="2" t="s">
        <v>7</v>
      </c>
      <c r="J1" s="5" t="s">
        <v>8</v>
      </c>
      <c r="K1" s="6" t="s">
        <v>9</v>
      </c>
      <c r="L1" s="7" t="s">
        <v>10</v>
      </c>
      <c r="M1" s="8" t="s">
        <v>11</v>
      </c>
    </row>
    <row r="2" ht="20.25" customHeight="1">
      <c r="A2" s="9"/>
      <c r="B2" s="10"/>
      <c r="C2" s="11" t="s">
        <v>12</v>
      </c>
      <c r="D2" s="12"/>
      <c r="E2" s="13"/>
      <c r="F2" s="12"/>
      <c r="G2" s="12"/>
      <c r="H2" s="14"/>
      <c r="I2" s="14"/>
      <c r="J2" s="15">
        <f t="shared" ref="J2:M2" si="1">+J3</f>
        <v>82858586.5</v>
      </c>
      <c r="K2" s="15">
        <f t="shared" si="1"/>
        <v>8285858.65</v>
      </c>
      <c r="L2" s="15">
        <f t="shared" si="1"/>
        <v>0</v>
      </c>
      <c r="M2" s="15">
        <f t="shared" si="1"/>
        <v>74572727.85</v>
      </c>
    </row>
    <row r="3" ht="18.75" customHeight="1">
      <c r="A3" s="16"/>
      <c r="B3" s="17"/>
      <c r="C3" s="18" t="s">
        <v>13</v>
      </c>
      <c r="D3" s="19"/>
      <c r="E3" s="19"/>
      <c r="F3" s="19"/>
      <c r="G3" s="19"/>
      <c r="H3" s="19"/>
      <c r="I3" s="19"/>
      <c r="J3" s="20">
        <f t="shared" ref="J3:M3" si="2">SUM(J4:J9)</f>
        <v>82858586.5</v>
      </c>
      <c r="K3" s="20">
        <f t="shared" si="2"/>
        <v>8285858.65</v>
      </c>
      <c r="L3" s="20">
        <f t="shared" si="2"/>
        <v>0</v>
      </c>
      <c r="M3" s="20">
        <f t="shared" si="2"/>
        <v>74572727.85</v>
      </c>
    </row>
    <row r="4">
      <c r="A4" s="21"/>
      <c r="B4" s="22" t="s">
        <v>14</v>
      </c>
      <c r="C4" s="23" t="s">
        <v>15</v>
      </c>
      <c r="D4" s="24">
        <v>45164.0</v>
      </c>
      <c r="E4" s="24">
        <v>45229.0</v>
      </c>
      <c r="F4" s="25">
        <v>1.0</v>
      </c>
      <c r="G4" s="25" t="s">
        <v>16</v>
      </c>
      <c r="H4" s="26">
        <v>6721862.0</v>
      </c>
      <c r="I4" s="27">
        <f>(5/30)+2</f>
        <v>2.166666667</v>
      </c>
      <c r="J4" s="28">
        <f t="shared" ref="J4:J9" si="3">H4*I4</f>
        <v>14564034.33</v>
      </c>
      <c r="K4" s="29">
        <f t="shared" ref="K4:K9" si="4">J4*10%</f>
        <v>1456403.433</v>
      </c>
      <c r="L4" s="30">
        <v>0.0</v>
      </c>
      <c r="M4" s="31">
        <f t="shared" ref="M4:M5" si="5">J4*90%</f>
        <v>13107630.9</v>
      </c>
    </row>
    <row r="5">
      <c r="A5" s="21"/>
      <c r="B5" s="22" t="s">
        <v>14</v>
      </c>
      <c r="C5" s="23" t="s">
        <v>17</v>
      </c>
      <c r="D5" s="24">
        <v>45164.0</v>
      </c>
      <c r="E5" s="24">
        <v>45260.0</v>
      </c>
      <c r="F5" s="25">
        <v>1.0</v>
      </c>
      <c r="G5" s="25" t="s">
        <v>16</v>
      </c>
      <c r="H5" s="26">
        <v>6721862.0</v>
      </c>
      <c r="I5" s="27">
        <f t="shared" ref="I5:I8" si="6">(5/30)+3</f>
        <v>3.166666667</v>
      </c>
      <c r="J5" s="28">
        <f t="shared" si="3"/>
        <v>21285896.33</v>
      </c>
      <c r="K5" s="29">
        <f t="shared" si="4"/>
        <v>2128589.633</v>
      </c>
      <c r="L5" s="30">
        <v>0.0</v>
      </c>
      <c r="M5" s="31">
        <f t="shared" si="5"/>
        <v>19157306.7</v>
      </c>
    </row>
    <row r="6">
      <c r="A6" s="21"/>
      <c r="B6" s="22" t="s">
        <v>14</v>
      </c>
      <c r="C6" s="32" t="s">
        <v>18</v>
      </c>
      <c r="D6" s="24">
        <v>45164.0</v>
      </c>
      <c r="E6" s="24">
        <v>45260.0</v>
      </c>
      <c r="F6" s="25">
        <v>1.0</v>
      </c>
      <c r="G6" s="25" t="s">
        <v>16</v>
      </c>
      <c r="H6" s="26">
        <v>6721862.0</v>
      </c>
      <c r="I6" s="27">
        <f t="shared" si="6"/>
        <v>3.166666667</v>
      </c>
      <c r="J6" s="28">
        <f t="shared" si="3"/>
        <v>21285896.33</v>
      </c>
      <c r="K6" s="29">
        <f t="shared" si="4"/>
        <v>2128589.633</v>
      </c>
      <c r="L6" s="30">
        <v>0.0</v>
      </c>
      <c r="M6" s="31">
        <f t="shared" ref="M6:M7" si="7">J6-K6</f>
        <v>19157306.7</v>
      </c>
    </row>
    <row r="7">
      <c r="A7" s="21"/>
      <c r="B7" s="22" t="s">
        <v>14</v>
      </c>
      <c r="C7" s="32" t="s">
        <v>19</v>
      </c>
      <c r="D7" s="24">
        <v>45164.0</v>
      </c>
      <c r="E7" s="24">
        <v>45260.0</v>
      </c>
      <c r="F7" s="25">
        <v>1.0</v>
      </c>
      <c r="G7" s="25" t="s">
        <v>16</v>
      </c>
      <c r="H7" s="26">
        <v>3026207.0</v>
      </c>
      <c r="I7" s="27">
        <f t="shared" si="6"/>
        <v>3.166666667</v>
      </c>
      <c r="J7" s="28">
        <f t="shared" si="3"/>
        <v>9582988.833</v>
      </c>
      <c r="K7" s="29">
        <f t="shared" si="4"/>
        <v>958298.8833</v>
      </c>
      <c r="L7" s="30">
        <v>0.0</v>
      </c>
      <c r="M7" s="31">
        <f t="shared" si="7"/>
        <v>8624689.95</v>
      </c>
    </row>
    <row r="8">
      <c r="A8" s="21"/>
      <c r="B8" s="22" t="s">
        <v>14</v>
      </c>
      <c r="C8" s="32" t="s">
        <v>20</v>
      </c>
      <c r="D8" s="24">
        <v>45164.0</v>
      </c>
      <c r="E8" s="24">
        <v>45260.0</v>
      </c>
      <c r="F8" s="25">
        <v>1.0</v>
      </c>
      <c r="G8" s="25" t="s">
        <v>16</v>
      </c>
      <c r="H8" s="26">
        <v>3026207.0</v>
      </c>
      <c r="I8" s="27">
        <f t="shared" si="6"/>
        <v>3.166666667</v>
      </c>
      <c r="J8" s="28">
        <f t="shared" si="3"/>
        <v>9582988.833</v>
      </c>
      <c r="K8" s="29">
        <f t="shared" si="4"/>
        <v>958298.8833</v>
      </c>
      <c r="L8" s="30">
        <v>0.0</v>
      </c>
      <c r="M8" s="31">
        <f t="shared" ref="M8:M9" si="8">J8*90%</f>
        <v>8624689.95</v>
      </c>
    </row>
    <row r="9">
      <c r="A9" s="21"/>
      <c r="B9" s="22" t="s">
        <v>14</v>
      </c>
      <c r="C9" s="32" t="s">
        <v>21</v>
      </c>
      <c r="D9" s="24">
        <v>45164.0</v>
      </c>
      <c r="E9" s="24">
        <v>45229.0</v>
      </c>
      <c r="F9" s="25">
        <v>1.0</v>
      </c>
      <c r="G9" s="25" t="s">
        <v>16</v>
      </c>
      <c r="H9" s="26">
        <v>3026207.0</v>
      </c>
      <c r="I9" s="27">
        <f>(5/30)+2</f>
        <v>2.166666667</v>
      </c>
      <c r="J9" s="28">
        <f t="shared" si="3"/>
        <v>6556781.833</v>
      </c>
      <c r="K9" s="29">
        <f t="shared" si="4"/>
        <v>655678.1833</v>
      </c>
      <c r="L9" s="30">
        <v>0.0</v>
      </c>
      <c r="M9" s="31">
        <f t="shared" si="8"/>
        <v>5901103.65</v>
      </c>
    </row>
    <row r="10">
      <c r="A10" s="33"/>
      <c r="B10" s="34"/>
      <c r="C10" s="35" t="s">
        <v>22</v>
      </c>
      <c r="D10" s="34"/>
      <c r="E10" s="34"/>
      <c r="F10" s="34"/>
      <c r="G10" s="34"/>
      <c r="H10" s="36"/>
      <c r="I10" s="36"/>
      <c r="J10" s="37">
        <f t="shared" ref="J10:M10" si="9">+J11</f>
        <v>12153568.5</v>
      </c>
      <c r="K10" s="37">
        <f t="shared" si="9"/>
        <v>12153568.5</v>
      </c>
      <c r="L10" s="37">
        <f t="shared" si="9"/>
        <v>0</v>
      </c>
      <c r="M10" s="37">
        <f t="shared" si="9"/>
        <v>0</v>
      </c>
    </row>
    <row r="11">
      <c r="A11" s="38"/>
      <c r="B11" s="39" t="s">
        <v>23</v>
      </c>
      <c r="C11" s="18" t="s">
        <v>24</v>
      </c>
      <c r="D11" s="19"/>
      <c r="E11" s="19"/>
      <c r="F11" s="19"/>
      <c r="G11" s="19"/>
      <c r="H11" s="19"/>
      <c r="I11" s="19"/>
      <c r="J11" s="40">
        <f t="shared" ref="J11:M11" si="10">SUM(J12)</f>
        <v>12153568.5</v>
      </c>
      <c r="K11" s="40">
        <f t="shared" si="10"/>
        <v>12153568.5</v>
      </c>
      <c r="L11" s="40">
        <f t="shared" si="10"/>
        <v>0</v>
      </c>
      <c r="M11" s="40">
        <f t="shared" si="10"/>
        <v>0</v>
      </c>
    </row>
    <row r="12">
      <c r="A12" s="41"/>
      <c r="B12" s="42" t="s">
        <v>25</v>
      </c>
      <c r="C12" s="43" t="s">
        <v>26</v>
      </c>
      <c r="D12" s="24">
        <v>45164.0</v>
      </c>
      <c r="E12" s="24">
        <v>45260.0</v>
      </c>
      <c r="F12" s="44">
        <v>1.0</v>
      </c>
      <c r="G12" s="44" t="s">
        <v>16</v>
      </c>
      <c r="H12" s="26">
        <v>3837969.0</v>
      </c>
      <c r="I12" s="27">
        <f>(5/30)+3</f>
        <v>3.166666667</v>
      </c>
      <c r="J12" s="28">
        <f>H12*I12</f>
        <v>12153568.5</v>
      </c>
      <c r="K12" s="45">
        <f>+J12</f>
        <v>12153568.5</v>
      </c>
      <c r="L12" s="46">
        <v>0.0</v>
      </c>
      <c r="M12" s="47">
        <v>0.0</v>
      </c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>
      <c r="A13" s="33"/>
      <c r="B13" s="34"/>
      <c r="C13" s="35" t="s">
        <v>27</v>
      </c>
      <c r="D13" s="34"/>
      <c r="E13" s="34"/>
      <c r="F13" s="34"/>
      <c r="G13" s="34"/>
      <c r="H13" s="34"/>
      <c r="I13" s="34"/>
      <c r="J13" s="37">
        <f t="shared" ref="J13:M13" si="11">J14+J18+J21+J25</f>
        <v>290899443</v>
      </c>
      <c r="K13" s="37">
        <f t="shared" si="11"/>
        <v>7955320.9</v>
      </c>
      <c r="L13" s="37">
        <f t="shared" si="11"/>
        <v>214247005.2</v>
      </c>
      <c r="M13" s="37">
        <f t="shared" si="11"/>
        <v>68697116.93</v>
      </c>
    </row>
    <row r="14">
      <c r="A14" s="49"/>
      <c r="B14" s="19" t="s">
        <v>23</v>
      </c>
      <c r="C14" s="18" t="s">
        <v>28</v>
      </c>
      <c r="D14" s="19"/>
      <c r="E14" s="19"/>
      <c r="F14" s="19"/>
      <c r="G14" s="19"/>
      <c r="H14" s="19"/>
      <c r="I14" s="19"/>
      <c r="J14" s="50">
        <f t="shared" ref="J14:M14" si="12">SUM(J15:J17)</f>
        <v>83159937.83</v>
      </c>
      <c r="K14" s="50">
        <f t="shared" si="12"/>
        <v>7955320.9</v>
      </c>
      <c r="L14" s="50">
        <f t="shared" si="12"/>
        <v>6507500</v>
      </c>
      <c r="M14" s="50">
        <f t="shared" si="12"/>
        <v>68697116.93</v>
      </c>
    </row>
    <row r="15">
      <c r="A15" s="21"/>
      <c r="B15" s="22" t="s">
        <v>14</v>
      </c>
      <c r="C15" s="51" t="s">
        <v>29</v>
      </c>
      <c r="D15" s="24">
        <v>45164.0</v>
      </c>
      <c r="E15" s="24">
        <v>45260.0</v>
      </c>
      <c r="F15" s="44">
        <v>0.5</v>
      </c>
      <c r="G15" s="44" t="s">
        <v>16</v>
      </c>
      <c r="H15" s="52">
        <v>1.37E7</v>
      </c>
      <c r="I15" s="27">
        <f t="shared" ref="I15:I17" si="13">(5/30)+3</f>
        <v>3.166666667</v>
      </c>
      <c r="J15" s="28">
        <f t="shared" ref="J15:J17" si="14">H15*I15</f>
        <v>43383333.33</v>
      </c>
      <c r="K15" s="53" t="s">
        <v>23</v>
      </c>
      <c r="L15" s="46">
        <f>J15*15%</f>
        <v>6507500</v>
      </c>
      <c r="M15" s="47">
        <f>J15*85%</f>
        <v>36875833.33</v>
      </c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>
      <c r="A16" s="21"/>
      <c r="B16" s="54" t="s">
        <v>14</v>
      </c>
      <c r="C16" s="55" t="s">
        <v>29</v>
      </c>
      <c r="D16" s="24">
        <v>45164.0</v>
      </c>
      <c r="E16" s="24">
        <v>45260.0</v>
      </c>
      <c r="F16" s="44">
        <v>0.5</v>
      </c>
      <c r="G16" s="44" t="s">
        <v>16</v>
      </c>
      <c r="H16" s="56">
        <v>8400000.0</v>
      </c>
      <c r="I16" s="27">
        <f t="shared" si="13"/>
        <v>3.166666667</v>
      </c>
      <c r="J16" s="28">
        <f t="shared" si="14"/>
        <v>26600000</v>
      </c>
      <c r="K16" s="53">
        <f t="shared" ref="K16:K17" si="15">J16*20%</f>
        <v>5320000</v>
      </c>
      <c r="L16" s="46">
        <v>0.0</v>
      </c>
      <c r="M16" s="47">
        <f t="shared" ref="M16:M17" si="16">J16*80%</f>
        <v>21280000</v>
      </c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>
      <c r="A17" s="21"/>
      <c r="B17" s="54" t="s">
        <v>14</v>
      </c>
      <c r="C17" s="57" t="s">
        <v>30</v>
      </c>
      <c r="D17" s="24">
        <v>45164.0</v>
      </c>
      <c r="E17" s="24">
        <v>45260.0</v>
      </c>
      <c r="F17" s="44">
        <v>0.5</v>
      </c>
      <c r="G17" s="44" t="s">
        <v>16</v>
      </c>
      <c r="H17" s="56">
        <v>4161033.0</v>
      </c>
      <c r="I17" s="27">
        <f t="shared" si="13"/>
        <v>3.166666667</v>
      </c>
      <c r="J17" s="28">
        <f t="shared" si="14"/>
        <v>13176604.5</v>
      </c>
      <c r="K17" s="53">
        <f t="shared" si="15"/>
        <v>2635320.9</v>
      </c>
      <c r="L17" s="46">
        <v>0.0</v>
      </c>
      <c r="M17" s="47">
        <f t="shared" si="16"/>
        <v>10541283.6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>
      <c r="A18" s="49"/>
      <c r="B18" s="19" t="s">
        <v>23</v>
      </c>
      <c r="C18" s="18" t="s">
        <v>31</v>
      </c>
      <c r="D18" s="19"/>
      <c r="E18" s="19"/>
      <c r="F18" s="19"/>
      <c r="G18" s="19"/>
      <c r="H18" s="19"/>
      <c r="I18" s="19"/>
      <c r="J18" s="50">
        <f t="shared" ref="J18:M18" si="17">SUM(J19:J20)</f>
        <v>8004734.833</v>
      </c>
      <c r="K18" s="50">
        <f t="shared" si="17"/>
        <v>0</v>
      </c>
      <c r="L18" s="50">
        <f t="shared" si="17"/>
        <v>8004734.833</v>
      </c>
      <c r="M18" s="50">
        <f t="shared" si="17"/>
        <v>0</v>
      </c>
    </row>
    <row r="19">
      <c r="A19" s="21"/>
      <c r="B19" s="22" t="s">
        <v>14</v>
      </c>
      <c r="C19" s="58" t="s">
        <v>32</v>
      </c>
      <c r="D19" s="24">
        <v>45164.0</v>
      </c>
      <c r="E19" s="24">
        <v>45230.0</v>
      </c>
      <c r="F19" s="44">
        <v>0.5</v>
      </c>
      <c r="G19" s="44" t="s">
        <v>16</v>
      </c>
      <c r="H19" s="52">
        <v>3694493.0</v>
      </c>
      <c r="I19" s="27">
        <f>(5/30)+2</f>
        <v>2.166666667</v>
      </c>
      <c r="J19" s="28">
        <f t="shared" ref="J19:J20" si="18">H19*I19</f>
        <v>8004734.833</v>
      </c>
      <c r="K19" s="53">
        <v>0.0</v>
      </c>
      <c r="L19" s="46">
        <f t="shared" ref="L19:L20" si="19">J19*100%</f>
        <v>8004734.833</v>
      </c>
      <c r="M19" s="47">
        <f t="shared" ref="M19:M20" si="20">J19*0%</f>
        <v>0</v>
      </c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</row>
    <row r="20">
      <c r="A20" s="41"/>
      <c r="B20" s="42" t="s">
        <v>14</v>
      </c>
      <c r="C20" s="59" t="s">
        <v>23</v>
      </c>
      <c r="D20" s="24">
        <v>45164.0</v>
      </c>
      <c r="E20" s="24">
        <v>45291.0</v>
      </c>
      <c r="F20" s="44">
        <v>0.5</v>
      </c>
      <c r="G20" s="44" t="s">
        <v>16</v>
      </c>
      <c r="H20" s="26">
        <v>0.0</v>
      </c>
      <c r="I20" s="27">
        <v>0.0</v>
      </c>
      <c r="J20" s="28">
        <f t="shared" si="18"/>
        <v>0</v>
      </c>
      <c r="K20" s="53">
        <v>0.0</v>
      </c>
      <c r="L20" s="46">
        <f t="shared" si="19"/>
        <v>0</v>
      </c>
      <c r="M20" s="47">
        <f t="shared" si="20"/>
        <v>0</v>
      </c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</row>
    <row r="21">
      <c r="A21" s="49"/>
      <c r="B21" s="19" t="s">
        <v>23</v>
      </c>
      <c r="C21" s="18" t="s">
        <v>33</v>
      </c>
      <c r="D21" s="19"/>
      <c r="E21" s="19"/>
      <c r="F21" s="19"/>
      <c r="G21" s="19"/>
      <c r="H21" s="19"/>
      <c r="I21" s="19"/>
      <c r="J21" s="50">
        <f t="shared" ref="J21:M21" si="21">SUM(J22:J24)</f>
        <v>35121728</v>
      </c>
      <c r="K21" s="50">
        <f t="shared" si="21"/>
        <v>0</v>
      </c>
      <c r="L21" s="50">
        <f t="shared" si="21"/>
        <v>35121728</v>
      </c>
      <c r="M21" s="50">
        <f t="shared" si="21"/>
        <v>0</v>
      </c>
    </row>
    <row r="22">
      <c r="A22" s="41"/>
      <c r="B22" s="42" t="s">
        <v>14</v>
      </c>
      <c r="C22" s="59" t="s">
        <v>34</v>
      </c>
      <c r="D22" s="24">
        <v>45164.0</v>
      </c>
      <c r="E22" s="24">
        <v>45260.0</v>
      </c>
      <c r="F22" s="44">
        <v>1.0</v>
      </c>
      <c r="G22" s="44" t="s">
        <v>16</v>
      </c>
      <c r="H22" s="26">
        <v>3697024.0</v>
      </c>
      <c r="I22" s="27">
        <f t="shared" ref="I22:I24" si="22">(5/30)+3</f>
        <v>3.166666667</v>
      </c>
      <c r="J22" s="28">
        <f t="shared" ref="J22:J24" si="23">H22*I22</f>
        <v>11707242.67</v>
      </c>
      <c r="K22" s="53">
        <v>0.0</v>
      </c>
      <c r="L22" s="46">
        <f t="shared" ref="L22:L24" si="24">J22*100%</f>
        <v>11707242.67</v>
      </c>
      <c r="M22" s="47">
        <f t="shared" ref="M22:M24" si="25">J22*0%</f>
        <v>0</v>
      </c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>
      <c r="A23" s="41"/>
      <c r="B23" s="42" t="s">
        <v>14</v>
      </c>
      <c r="C23" s="59" t="s">
        <v>35</v>
      </c>
      <c r="D23" s="24">
        <v>45164.0</v>
      </c>
      <c r="E23" s="24">
        <v>45260.0</v>
      </c>
      <c r="F23" s="44">
        <v>1.0</v>
      </c>
      <c r="G23" s="44" t="s">
        <v>16</v>
      </c>
      <c r="H23" s="26">
        <v>3697024.0</v>
      </c>
      <c r="I23" s="27">
        <f t="shared" si="22"/>
        <v>3.166666667</v>
      </c>
      <c r="J23" s="28">
        <f t="shared" si="23"/>
        <v>11707242.67</v>
      </c>
      <c r="K23" s="53">
        <v>0.0</v>
      </c>
      <c r="L23" s="46">
        <f t="shared" si="24"/>
        <v>11707242.67</v>
      </c>
      <c r="M23" s="47">
        <f t="shared" si="25"/>
        <v>0</v>
      </c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>
      <c r="A24" s="41"/>
      <c r="B24" s="42" t="s">
        <v>14</v>
      </c>
      <c r="C24" s="59" t="s">
        <v>36</v>
      </c>
      <c r="D24" s="24">
        <v>45164.0</v>
      </c>
      <c r="E24" s="24">
        <v>45260.0</v>
      </c>
      <c r="F24" s="44">
        <v>1.0</v>
      </c>
      <c r="G24" s="44" t="s">
        <v>16</v>
      </c>
      <c r="H24" s="26">
        <v>3697024.0</v>
      </c>
      <c r="I24" s="27">
        <f t="shared" si="22"/>
        <v>3.166666667</v>
      </c>
      <c r="J24" s="28">
        <f t="shared" si="23"/>
        <v>11707242.67</v>
      </c>
      <c r="K24" s="53">
        <v>0.0</v>
      </c>
      <c r="L24" s="46">
        <f t="shared" si="24"/>
        <v>11707242.67</v>
      </c>
      <c r="M24" s="47">
        <f t="shared" si="25"/>
        <v>0</v>
      </c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>
      <c r="A25" s="49"/>
      <c r="B25" s="19" t="s">
        <v>23</v>
      </c>
      <c r="C25" s="18" t="s">
        <v>37</v>
      </c>
      <c r="D25" s="19"/>
      <c r="E25" s="19"/>
      <c r="F25" s="19"/>
      <c r="G25" s="19"/>
      <c r="H25" s="19"/>
      <c r="I25" s="19"/>
      <c r="J25" s="50">
        <f t="shared" ref="J25:M25" si="26">SUM(J26:J36)</f>
        <v>164613042.3</v>
      </c>
      <c r="K25" s="50">
        <f t="shared" si="26"/>
        <v>0</v>
      </c>
      <c r="L25" s="50">
        <f t="shared" si="26"/>
        <v>164613042.3</v>
      </c>
      <c r="M25" s="50">
        <f t="shared" si="26"/>
        <v>0</v>
      </c>
    </row>
    <row r="26" ht="15.75" customHeight="1">
      <c r="A26" s="41"/>
      <c r="B26" s="42" t="s">
        <v>14</v>
      </c>
      <c r="C26" s="59" t="s">
        <v>38</v>
      </c>
      <c r="D26" s="24">
        <v>45164.0</v>
      </c>
      <c r="E26" s="60">
        <v>45260.0</v>
      </c>
      <c r="F26" s="44">
        <v>1.0</v>
      </c>
      <c r="G26" s="44" t="s">
        <v>16</v>
      </c>
      <c r="H26" s="26">
        <v>4500000.0</v>
      </c>
      <c r="I26" s="27">
        <f t="shared" ref="I26:I36" si="27">(5/30)+3</f>
        <v>3.166666667</v>
      </c>
      <c r="J26" s="28">
        <f t="shared" ref="J26:J36" si="28">H26*I26</f>
        <v>14250000</v>
      </c>
      <c r="K26" s="53">
        <v>0.0</v>
      </c>
      <c r="L26" s="46">
        <f>J26-K26</f>
        <v>14250000</v>
      </c>
      <c r="M26" s="47">
        <f t="shared" ref="M26:M36" si="29">J26*0%</f>
        <v>0</v>
      </c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ht="15.75" customHeight="1">
      <c r="A27" s="41"/>
      <c r="B27" s="42" t="s">
        <v>14</v>
      </c>
      <c r="C27" s="59" t="s">
        <v>39</v>
      </c>
      <c r="D27" s="24">
        <v>45164.0</v>
      </c>
      <c r="E27" s="24">
        <v>45260.0</v>
      </c>
      <c r="F27" s="44">
        <v>1.0</v>
      </c>
      <c r="G27" s="44" t="s">
        <v>16</v>
      </c>
      <c r="H27" s="26">
        <v>4500000.0</v>
      </c>
      <c r="I27" s="27">
        <f t="shared" si="27"/>
        <v>3.166666667</v>
      </c>
      <c r="J27" s="28">
        <f t="shared" si="28"/>
        <v>14250000</v>
      </c>
      <c r="K27" s="53">
        <v>0.0</v>
      </c>
      <c r="L27" s="46">
        <f t="shared" ref="L27:L31" si="30">J27*100%</f>
        <v>14250000</v>
      </c>
      <c r="M27" s="47">
        <f t="shared" si="29"/>
        <v>0</v>
      </c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ht="15.75" customHeight="1">
      <c r="A28" s="41"/>
      <c r="B28" s="42" t="s">
        <v>14</v>
      </c>
      <c r="C28" s="59" t="s">
        <v>40</v>
      </c>
      <c r="D28" s="24">
        <v>45164.0</v>
      </c>
      <c r="E28" s="24">
        <v>45260.0</v>
      </c>
      <c r="F28" s="44">
        <v>1.0</v>
      </c>
      <c r="G28" s="44" t="s">
        <v>16</v>
      </c>
      <c r="H28" s="26">
        <v>4500000.0</v>
      </c>
      <c r="I28" s="27">
        <f t="shared" si="27"/>
        <v>3.166666667</v>
      </c>
      <c r="J28" s="28">
        <f t="shared" si="28"/>
        <v>14250000</v>
      </c>
      <c r="K28" s="53">
        <v>0.0</v>
      </c>
      <c r="L28" s="46">
        <f t="shared" si="30"/>
        <v>14250000</v>
      </c>
      <c r="M28" s="47">
        <f t="shared" si="29"/>
        <v>0</v>
      </c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ht="15.75" customHeight="1">
      <c r="A29" s="41"/>
      <c r="B29" s="42" t="s">
        <v>14</v>
      </c>
      <c r="C29" s="59" t="s">
        <v>41</v>
      </c>
      <c r="D29" s="24">
        <v>45164.0</v>
      </c>
      <c r="E29" s="24">
        <v>45260.0</v>
      </c>
      <c r="F29" s="44">
        <v>1.0</v>
      </c>
      <c r="G29" s="44" t="s">
        <v>16</v>
      </c>
      <c r="H29" s="26">
        <v>4500000.0</v>
      </c>
      <c r="I29" s="27">
        <f t="shared" si="27"/>
        <v>3.166666667</v>
      </c>
      <c r="J29" s="28">
        <f t="shared" si="28"/>
        <v>14250000</v>
      </c>
      <c r="K29" s="53">
        <v>0.0</v>
      </c>
      <c r="L29" s="46">
        <f t="shared" si="30"/>
        <v>14250000</v>
      </c>
      <c r="M29" s="47">
        <f t="shared" si="29"/>
        <v>0</v>
      </c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ht="15.75" customHeight="1">
      <c r="A30" s="41"/>
      <c r="B30" s="42" t="s">
        <v>14</v>
      </c>
      <c r="C30" s="59" t="s">
        <v>42</v>
      </c>
      <c r="D30" s="24">
        <v>45164.0</v>
      </c>
      <c r="E30" s="24">
        <v>45260.0</v>
      </c>
      <c r="F30" s="44">
        <v>1.0</v>
      </c>
      <c r="G30" s="44" t="s">
        <v>16</v>
      </c>
      <c r="H30" s="26">
        <v>4500000.0</v>
      </c>
      <c r="I30" s="27">
        <f t="shared" si="27"/>
        <v>3.166666667</v>
      </c>
      <c r="J30" s="28">
        <f t="shared" si="28"/>
        <v>14250000</v>
      </c>
      <c r="K30" s="53">
        <v>0.0</v>
      </c>
      <c r="L30" s="46">
        <f t="shared" si="30"/>
        <v>14250000</v>
      </c>
      <c r="M30" s="47">
        <f t="shared" si="29"/>
        <v>0</v>
      </c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ht="15.75" customHeight="1">
      <c r="A31" s="41"/>
      <c r="B31" s="42" t="s">
        <v>14</v>
      </c>
      <c r="C31" s="59" t="s">
        <v>43</v>
      </c>
      <c r="D31" s="24">
        <v>45164.0</v>
      </c>
      <c r="E31" s="24">
        <v>45260.0</v>
      </c>
      <c r="F31" s="44">
        <v>1.0</v>
      </c>
      <c r="G31" s="44" t="s">
        <v>16</v>
      </c>
      <c r="H31" s="26">
        <v>6000000.0</v>
      </c>
      <c r="I31" s="27">
        <f t="shared" si="27"/>
        <v>3.166666667</v>
      </c>
      <c r="J31" s="28">
        <f t="shared" si="28"/>
        <v>19000000</v>
      </c>
      <c r="K31" s="53">
        <v>0.0</v>
      </c>
      <c r="L31" s="46">
        <f t="shared" si="30"/>
        <v>19000000</v>
      </c>
      <c r="M31" s="47">
        <f t="shared" si="29"/>
        <v>0</v>
      </c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ht="15.75" customHeight="1">
      <c r="A32" s="41"/>
      <c r="B32" s="42" t="s">
        <v>14</v>
      </c>
      <c r="C32" s="59" t="s">
        <v>44</v>
      </c>
      <c r="D32" s="24">
        <v>45164.0</v>
      </c>
      <c r="E32" s="60">
        <v>45260.0</v>
      </c>
      <c r="F32" s="44">
        <v>1.0</v>
      </c>
      <c r="G32" s="44" t="s">
        <v>16</v>
      </c>
      <c r="H32" s="26">
        <v>4161033.0</v>
      </c>
      <c r="I32" s="27">
        <f t="shared" si="27"/>
        <v>3.166666667</v>
      </c>
      <c r="J32" s="28">
        <f t="shared" si="28"/>
        <v>13176604.5</v>
      </c>
      <c r="K32" s="53">
        <v>0.0</v>
      </c>
      <c r="L32" s="46">
        <f>J32-K32</f>
        <v>13176604.5</v>
      </c>
      <c r="M32" s="47">
        <f t="shared" si="29"/>
        <v>0</v>
      </c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ht="15.75" customHeight="1">
      <c r="A33" s="41"/>
      <c r="B33" s="42" t="s">
        <v>14</v>
      </c>
      <c r="C33" s="59" t="s">
        <v>45</v>
      </c>
      <c r="D33" s="24">
        <v>45164.0</v>
      </c>
      <c r="E33" s="24">
        <v>45260.0</v>
      </c>
      <c r="F33" s="44">
        <v>1.0</v>
      </c>
      <c r="G33" s="44" t="s">
        <v>16</v>
      </c>
      <c r="H33" s="26">
        <v>4161033.0</v>
      </c>
      <c r="I33" s="27">
        <f t="shared" si="27"/>
        <v>3.166666667</v>
      </c>
      <c r="J33" s="28">
        <f t="shared" si="28"/>
        <v>13176604.5</v>
      </c>
      <c r="K33" s="53">
        <v>0.0</v>
      </c>
      <c r="L33" s="46">
        <f t="shared" ref="L33:L36" si="31">J33*100%</f>
        <v>13176604.5</v>
      </c>
      <c r="M33" s="47">
        <f t="shared" si="29"/>
        <v>0</v>
      </c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</row>
    <row r="34" ht="15.75" customHeight="1">
      <c r="A34" s="41"/>
      <c r="B34" s="42" t="s">
        <v>14</v>
      </c>
      <c r="C34" s="59" t="s">
        <v>46</v>
      </c>
      <c r="D34" s="24">
        <v>45164.0</v>
      </c>
      <c r="E34" s="24">
        <v>45260.0</v>
      </c>
      <c r="F34" s="44">
        <v>1.0</v>
      </c>
      <c r="G34" s="44" t="s">
        <v>16</v>
      </c>
      <c r="H34" s="26">
        <v>4830500.0</v>
      </c>
      <c r="I34" s="27">
        <f t="shared" si="27"/>
        <v>3.166666667</v>
      </c>
      <c r="J34" s="28">
        <f t="shared" si="28"/>
        <v>15296583.33</v>
      </c>
      <c r="K34" s="53">
        <v>0.0</v>
      </c>
      <c r="L34" s="46">
        <f t="shared" si="31"/>
        <v>15296583.33</v>
      </c>
      <c r="M34" s="47">
        <f t="shared" si="29"/>
        <v>0</v>
      </c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</row>
    <row r="35" ht="15.75" customHeight="1">
      <c r="A35" s="41"/>
      <c r="B35" s="42" t="s">
        <v>14</v>
      </c>
      <c r="C35" s="59" t="s">
        <v>47</v>
      </c>
      <c r="D35" s="24">
        <v>45164.0</v>
      </c>
      <c r="E35" s="24">
        <v>45260.0</v>
      </c>
      <c r="F35" s="44">
        <v>1.0</v>
      </c>
      <c r="G35" s="44" t="s">
        <v>16</v>
      </c>
      <c r="H35" s="26">
        <v>4830500.0</v>
      </c>
      <c r="I35" s="27">
        <f t="shared" si="27"/>
        <v>3.166666667</v>
      </c>
      <c r="J35" s="28">
        <f t="shared" si="28"/>
        <v>15296583.33</v>
      </c>
      <c r="K35" s="53">
        <v>0.0</v>
      </c>
      <c r="L35" s="46">
        <f t="shared" si="31"/>
        <v>15296583.33</v>
      </c>
      <c r="M35" s="47">
        <f t="shared" si="29"/>
        <v>0</v>
      </c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</row>
    <row r="36" ht="15.75" customHeight="1">
      <c r="A36" s="41"/>
      <c r="B36" s="42" t="s">
        <v>14</v>
      </c>
      <c r="C36" s="59" t="s">
        <v>48</v>
      </c>
      <c r="D36" s="24">
        <v>45164.0</v>
      </c>
      <c r="E36" s="24">
        <v>45260.0</v>
      </c>
      <c r="F36" s="44">
        <v>1.0</v>
      </c>
      <c r="G36" s="44" t="s">
        <v>16</v>
      </c>
      <c r="H36" s="26">
        <v>5500000.0</v>
      </c>
      <c r="I36" s="27">
        <f t="shared" si="27"/>
        <v>3.166666667</v>
      </c>
      <c r="J36" s="28">
        <f t="shared" si="28"/>
        <v>17416666.67</v>
      </c>
      <c r="K36" s="53">
        <v>0.0</v>
      </c>
      <c r="L36" s="46">
        <f t="shared" si="31"/>
        <v>17416666.67</v>
      </c>
      <c r="M36" s="47">
        <f t="shared" si="29"/>
        <v>0</v>
      </c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</row>
    <row r="37" ht="15.75" customHeight="1">
      <c r="A37" s="33"/>
      <c r="B37" s="34"/>
      <c r="C37" s="35" t="s">
        <v>49</v>
      </c>
      <c r="D37" s="34"/>
      <c r="E37" s="34"/>
      <c r="F37" s="34"/>
      <c r="G37" s="34"/>
      <c r="H37" s="34"/>
      <c r="I37" s="34"/>
      <c r="J37" s="37">
        <f t="shared" ref="J37:M37" si="32">+J38+J81+J86</f>
        <v>586348967.1</v>
      </c>
      <c r="K37" s="37">
        <f t="shared" si="32"/>
        <v>66434164.43</v>
      </c>
      <c r="L37" s="37">
        <f t="shared" si="32"/>
        <v>158707691</v>
      </c>
      <c r="M37" s="37">
        <f t="shared" si="32"/>
        <v>361207111.9</v>
      </c>
    </row>
    <row r="38" ht="15.75" customHeight="1">
      <c r="A38" s="49"/>
      <c r="B38" s="19"/>
      <c r="C38" s="18" t="s">
        <v>50</v>
      </c>
      <c r="D38" s="19"/>
      <c r="E38" s="19"/>
      <c r="F38" s="19"/>
      <c r="G38" s="19"/>
      <c r="H38" s="19"/>
      <c r="I38" s="19"/>
      <c r="J38" s="61">
        <f t="shared" ref="J38:M38" si="33">SUM(J39:J80)</f>
        <v>469412101.3</v>
      </c>
      <c r="K38" s="61">
        <f t="shared" si="33"/>
        <v>56765967.56</v>
      </c>
      <c r="L38" s="61">
        <f t="shared" si="33"/>
        <v>116131414</v>
      </c>
      <c r="M38" s="61">
        <f t="shared" si="33"/>
        <v>296514719.9</v>
      </c>
    </row>
    <row r="39" ht="15.75" customHeight="1">
      <c r="A39" s="41"/>
      <c r="B39" s="42" t="s">
        <v>14</v>
      </c>
      <c r="C39" s="62" t="s">
        <v>51</v>
      </c>
      <c r="D39" s="24">
        <v>45164.0</v>
      </c>
      <c r="E39" s="24">
        <v>45229.0</v>
      </c>
      <c r="F39" s="44">
        <v>1.0</v>
      </c>
      <c r="G39" s="63" t="s">
        <v>52</v>
      </c>
      <c r="H39" s="26">
        <v>5843852.0</v>
      </c>
      <c r="I39" s="27">
        <f>(5/30)+2</f>
        <v>2.166666667</v>
      </c>
      <c r="J39" s="28">
        <f t="shared" ref="J39:J80" si="34">H39*I39</f>
        <v>12661679.33</v>
      </c>
      <c r="K39" s="53">
        <f>J39*20%</f>
        <v>2532335.867</v>
      </c>
      <c r="L39" s="46">
        <f>J39*10%</f>
        <v>1266167.933</v>
      </c>
      <c r="M39" s="31">
        <f>J39*70%</f>
        <v>8863175.533</v>
      </c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</row>
    <row r="40" ht="15.75" customHeight="1">
      <c r="A40" s="41"/>
      <c r="B40" s="42" t="s">
        <v>14</v>
      </c>
      <c r="C40" s="62" t="s">
        <v>53</v>
      </c>
      <c r="D40" s="24">
        <v>45164.0</v>
      </c>
      <c r="E40" s="60">
        <v>45260.0</v>
      </c>
      <c r="F40" s="44">
        <v>1.0</v>
      </c>
      <c r="G40" s="63" t="s">
        <v>52</v>
      </c>
      <c r="H40" s="26">
        <v>5843852.0</v>
      </c>
      <c r="I40" s="27">
        <f t="shared" ref="I40:I46" si="35">(5/30)+3</f>
        <v>3.166666667</v>
      </c>
      <c r="J40" s="28">
        <f t="shared" si="34"/>
        <v>18505531.33</v>
      </c>
      <c r="K40" s="53">
        <f t="shared" ref="K40:K74" si="36">J40*10%</f>
        <v>1850553.133</v>
      </c>
      <c r="L40" s="46">
        <v>1850553.0</v>
      </c>
      <c r="M40" s="31">
        <f>J40-K40-L40</f>
        <v>14804425.2</v>
      </c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</row>
    <row r="41" ht="15.75" customHeight="1">
      <c r="A41" s="41"/>
      <c r="B41" s="42" t="s">
        <v>14</v>
      </c>
      <c r="C41" s="62" t="s">
        <v>54</v>
      </c>
      <c r="D41" s="24">
        <v>45164.0</v>
      </c>
      <c r="E41" s="24">
        <v>45260.0</v>
      </c>
      <c r="F41" s="44">
        <v>1.0</v>
      </c>
      <c r="G41" s="63" t="s">
        <v>52</v>
      </c>
      <c r="H41" s="26">
        <v>5843852.0</v>
      </c>
      <c r="I41" s="27">
        <f t="shared" si="35"/>
        <v>3.166666667</v>
      </c>
      <c r="J41" s="28">
        <f t="shared" si="34"/>
        <v>18505531.33</v>
      </c>
      <c r="K41" s="53">
        <f t="shared" si="36"/>
        <v>1850553.133</v>
      </c>
      <c r="L41" s="46">
        <f>J41*10%</f>
        <v>1850553.133</v>
      </c>
      <c r="M41" s="31">
        <f>J41*80%</f>
        <v>14804425.07</v>
      </c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</row>
    <row r="42" ht="15.75" customHeight="1">
      <c r="A42" s="41"/>
      <c r="B42" s="42" t="s">
        <v>14</v>
      </c>
      <c r="C42" s="62" t="s">
        <v>55</v>
      </c>
      <c r="D42" s="24">
        <v>45164.0</v>
      </c>
      <c r="E42" s="24">
        <v>45260.0</v>
      </c>
      <c r="F42" s="44">
        <v>1.0</v>
      </c>
      <c r="G42" s="63" t="s">
        <v>52</v>
      </c>
      <c r="H42" s="26">
        <v>4479329.0</v>
      </c>
      <c r="I42" s="27">
        <f t="shared" si="35"/>
        <v>3.166666667</v>
      </c>
      <c r="J42" s="28">
        <f t="shared" si="34"/>
        <v>14184541.83</v>
      </c>
      <c r="K42" s="53">
        <f t="shared" si="36"/>
        <v>1418454.183</v>
      </c>
      <c r="L42" s="46">
        <v>0.0</v>
      </c>
      <c r="M42" s="31">
        <f t="shared" ref="M42:M43" si="37">J42*90%</f>
        <v>12766087.65</v>
      </c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</row>
    <row r="43" ht="15.75" customHeight="1">
      <c r="A43" s="41"/>
      <c r="B43" s="42" t="s">
        <v>14</v>
      </c>
      <c r="C43" s="62" t="s">
        <v>56</v>
      </c>
      <c r="D43" s="24">
        <v>45164.0</v>
      </c>
      <c r="E43" s="24">
        <v>45260.0</v>
      </c>
      <c r="F43" s="44">
        <v>1.0</v>
      </c>
      <c r="G43" s="63" t="s">
        <v>52</v>
      </c>
      <c r="H43" s="26">
        <v>4479329.0</v>
      </c>
      <c r="I43" s="27">
        <f t="shared" si="35"/>
        <v>3.166666667</v>
      </c>
      <c r="J43" s="28">
        <f t="shared" si="34"/>
        <v>14184541.83</v>
      </c>
      <c r="K43" s="53">
        <f t="shared" si="36"/>
        <v>1418454.183</v>
      </c>
      <c r="L43" s="46">
        <v>0.0</v>
      </c>
      <c r="M43" s="31">
        <f t="shared" si="37"/>
        <v>12766087.65</v>
      </c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</row>
    <row r="44" ht="15.75" customHeight="1">
      <c r="A44" s="41"/>
      <c r="B44" s="42" t="s">
        <v>14</v>
      </c>
      <c r="C44" s="62" t="s">
        <v>57</v>
      </c>
      <c r="D44" s="24">
        <v>45164.0</v>
      </c>
      <c r="E44" s="60">
        <v>45260.0</v>
      </c>
      <c r="F44" s="44">
        <v>1.0</v>
      </c>
      <c r="G44" s="63" t="s">
        <v>52</v>
      </c>
      <c r="H44" s="26">
        <v>4479329.0</v>
      </c>
      <c r="I44" s="27">
        <f t="shared" si="35"/>
        <v>3.166666667</v>
      </c>
      <c r="J44" s="28">
        <f t="shared" si="34"/>
        <v>14184541.83</v>
      </c>
      <c r="K44" s="53">
        <f t="shared" si="36"/>
        <v>1418454.183</v>
      </c>
      <c r="L44" s="46">
        <v>0.0</v>
      </c>
      <c r="M44" s="31">
        <f>J44-K44</f>
        <v>12766087.65</v>
      </c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</row>
    <row r="45" ht="15.75" customHeight="1">
      <c r="A45" s="41"/>
      <c r="B45" s="42" t="s">
        <v>14</v>
      </c>
      <c r="C45" s="62" t="s">
        <v>58</v>
      </c>
      <c r="D45" s="24">
        <v>45164.0</v>
      </c>
      <c r="E45" s="24">
        <v>45260.0</v>
      </c>
      <c r="F45" s="44">
        <v>1.0</v>
      </c>
      <c r="G45" s="63" t="s">
        <v>52</v>
      </c>
      <c r="H45" s="26">
        <v>3670762.0</v>
      </c>
      <c r="I45" s="27">
        <f t="shared" si="35"/>
        <v>3.166666667</v>
      </c>
      <c r="J45" s="28">
        <f t="shared" si="34"/>
        <v>11624079.67</v>
      </c>
      <c r="K45" s="53">
        <f t="shared" si="36"/>
        <v>1162407.967</v>
      </c>
      <c r="L45" s="46">
        <v>0.0</v>
      </c>
      <c r="M45" s="31">
        <f>J45*90%</f>
        <v>10461671.7</v>
      </c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</row>
    <row r="46" ht="15.75" customHeight="1">
      <c r="A46" s="41"/>
      <c r="B46" s="42" t="s">
        <v>14</v>
      </c>
      <c r="C46" s="62" t="s">
        <v>59</v>
      </c>
      <c r="D46" s="24">
        <v>45164.0</v>
      </c>
      <c r="E46" s="24">
        <v>45260.0</v>
      </c>
      <c r="F46" s="44">
        <v>1.0</v>
      </c>
      <c r="G46" s="63" t="s">
        <v>52</v>
      </c>
      <c r="H46" s="26">
        <v>3670762.0</v>
      </c>
      <c r="I46" s="27">
        <f t="shared" si="35"/>
        <v>3.166666667</v>
      </c>
      <c r="J46" s="28">
        <f t="shared" si="34"/>
        <v>11624079.67</v>
      </c>
      <c r="K46" s="53">
        <f t="shared" si="36"/>
        <v>1162407.967</v>
      </c>
      <c r="L46" s="46">
        <v>0.0</v>
      </c>
      <c r="M46" s="31">
        <f>J46-K46</f>
        <v>10461671.7</v>
      </c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</row>
    <row r="47" ht="15.75" customHeight="1">
      <c r="A47" s="41"/>
      <c r="B47" s="42" t="s">
        <v>14</v>
      </c>
      <c r="C47" s="62" t="s">
        <v>60</v>
      </c>
      <c r="D47" s="24">
        <v>45164.0</v>
      </c>
      <c r="E47" s="24">
        <v>45229.0</v>
      </c>
      <c r="F47" s="44">
        <v>1.0</v>
      </c>
      <c r="G47" s="63" t="s">
        <v>52</v>
      </c>
      <c r="H47" s="26">
        <v>3670762.0</v>
      </c>
      <c r="I47" s="27">
        <f>(5/30)+2</f>
        <v>2.166666667</v>
      </c>
      <c r="J47" s="28">
        <f t="shared" si="34"/>
        <v>7953317.667</v>
      </c>
      <c r="K47" s="53">
        <f t="shared" si="36"/>
        <v>795331.7667</v>
      </c>
      <c r="L47" s="46">
        <f t="shared" ref="L47:L48" si="38">J47*90%</f>
        <v>7157985.9</v>
      </c>
      <c r="M47" s="31">
        <v>0.0</v>
      </c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</row>
    <row r="48" ht="15.75" customHeight="1">
      <c r="A48" s="41"/>
      <c r="B48" s="42" t="s">
        <v>14</v>
      </c>
      <c r="C48" s="62" t="s">
        <v>61</v>
      </c>
      <c r="D48" s="24">
        <v>45164.0</v>
      </c>
      <c r="E48" s="24">
        <v>45260.0</v>
      </c>
      <c r="F48" s="44">
        <v>1.0</v>
      </c>
      <c r="G48" s="63" t="s">
        <v>52</v>
      </c>
      <c r="H48" s="26">
        <v>3670762.0</v>
      </c>
      <c r="I48" s="27">
        <f>(5/30)+3</f>
        <v>3.166666667</v>
      </c>
      <c r="J48" s="28">
        <f t="shared" si="34"/>
        <v>11624079.67</v>
      </c>
      <c r="K48" s="53">
        <f t="shared" si="36"/>
        <v>1162407.967</v>
      </c>
      <c r="L48" s="46">
        <f t="shared" si="38"/>
        <v>10461671.7</v>
      </c>
      <c r="M48" s="31">
        <v>0.0</v>
      </c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</row>
    <row r="49" ht="15.75" customHeight="1">
      <c r="A49" s="41"/>
      <c r="B49" s="42" t="s">
        <v>14</v>
      </c>
      <c r="C49" s="62" t="s">
        <v>62</v>
      </c>
      <c r="D49" s="24">
        <v>45164.0</v>
      </c>
      <c r="E49" s="24">
        <v>45229.0</v>
      </c>
      <c r="F49" s="44">
        <v>1.0</v>
      </c>
      <c r="G49" s="63" t="s">
        <v>52</v>
      </c>
      <c r="H49" s="26">
        <v>3505737.0</v>
      </c>
      <c r="I49" s="27">
        <f>(5/30)+2</f>
        <v>2.166666667</v>
      </c>
      <c r="J49" s="28">
        <f t="shared" si="34"/>
        <v>7595763.5</v>
      </c>
      <c r="K49" s="53">
        <f t="shared" si="36"/>
        <v>759576.35</v>
      </c>
      <c r="L49" s="46">
        <v>0.0</v>
      </c>
      <c r="M49" s="31">
        <f>J49*90%</f>
        <v>6836187.15</v>
      </c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</row>
    <row r="50" ht="15.75" customHeight="1">
      <c r="A50" s="41"/>
      <c r="B50" s="42" t="s">
        <v>14</v>
      </c>
      <c r="C50" s="62" t="s">
        <v>63</v>
      </c>
      <c r="D50" s="24">
        <v>45164.0</v>
      </c>
      <c r="E50" s="60">
        <v>45260.0</v>
      </c>
      <c r="F50" s="44">
        <v>1.0</v>
      </c>
      <c r="G50" s="63" t="s">
        <v>52</v>
      </c>
      <c r="H50" s="26">
        <v>3505737.0</v>
      </c>
      <c r="I50" s="27">
        <f t="shared" ref="I50:I55" si="39">(5/30)+3</f>
        <v>3.166666667</v>
      </c>
      <c r="J50" s="28">
        <f t="shared" si="34"/>
        <v>11101500.5</v>
      </c>
      <c r="K50" s="53">
        <f t="shared" si="36"/>
        <v>1110150.05</v>
      </c>
      <c r="L50" s="46">
        <v>0.0</v>
      </c>
      <c r="M50" s="31">
        <f>J50-K50</f>
        <v>9991350.45</v>
      </c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</row>
    <row r="51" ht="15.75" customHeight="1">
      <c r="A51" s="41"/>
      <c r="B51" s="42" t="s">
        <v>14</v>
      </c>
      <c r="C51" s="62" t="s">
        <v>64</v>
      </c>
      <c r="D51" s="24">
        <v>45164.0</v>
      </c>
      <c r="E51" s="24">
        <v>45260.0</v>
      </c>
      <c r="F51" s="44">
        <v>1.0</v>
      </c>
      <c r="G51" s="63" t="s">
        <v>52</v>
      </c>
      <c r="H51" s="26">
        <v>3505737.0</v>
      </c>
      <c r="I51" s="27">
        <f t="shared" si="39"/>
        <v>3.166666667</v>
      </c>
      <c r="J51" s="28">
        <f t="shared" si="34"/>
        <v>11101500.5</v>
      </c>
      <c r="K51" s="53">
        <f t="shared" si="36"/>
        <v>1110150.05</v>
      </c>
      <c r="L51" s="46">
        <f>J51*90%</f>
        <v>9991350.45</v>
      </c>
      <c r="M51" s="31">
        <v>0.0</v>
      </c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</row>
    <row r="52" ht="15.75" customHeight="1">
      <c r="A52" s="41"/>
      <c r="B52" s="42" t="s">
        <v>14</v>
      </c>
      <c r="C52" s="62" t="s">
        <v>65</v>
      </c>
      <c r="D52" s="24">
        <v>45164.0</v>
      </c>
      <c r="E52" s="24">
        <v>45260.0</v>
      </c>
      <c r="F52" s="44">
        <v>1.0</v>
      </c>
      <c r="G52" s="63" t="s">
        <v>52</v>
      </c>
      <c r="H52" s="26">
        <v>4918821.0</v>
      </c>
      <c r="I52" s="27">
        <f t="shared" si="39"/>
        <v>3.166666667</v>
      </c>
      <c r="J52" s="28">
        <f t="shared" si="34"/>
        <v>15576266.5</v>
      </c>
      <c r="K52" s="53">
        <f t="shared" si="36"/>
        <v>1557626.65</v>
      </c>
      <c r="L52" s="46">
        <f>J52*45%</f>
        <v>7009319.925</v>
      </c>
      <c r="M52" s="31">
        <f>J52*45%</f>
        <v>7009319.925</v>
      </c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</row>
    <row r="53" ht="15.75" customHeight="1">
      <c r="A53" s="41"/>
      <c r="B53" s="42" t="s">
        <v>14</v>
      </c>
      <c r="C53" s="62" t="s">
        <v>65</v>
      </c>
      <c r="D53" s="24">
        <v>45164.0</v>
      </c>
      <c r="E53" s="60">
        <v>45260.0</v>
      </c>
      <c r="F53" s="44">
        <v>1.0</v>
      </c>
      <c r="G53" s="63" t="s">
        <v>52</v>
      </c>
      <c r="H53" s="26">
        <v>4918821.0</v>
      </c>
      <c r="I53" s="27">
        <f t="shared" si="39"/>
        <v>3.166666667</v>
      </c>
      <c r="J53" s="28">
        <f t="shared" si="34"/>
        <v>15576266.5</v>
      </c>
      <c r="K53" s="53">
        <f t="shared" si="36"/>
        <v>1557626.65</v>
      </c>
      <c r="L53" s="46">
        <v>7009320.0</v>
      </c>
      <c r="M53" s="31">
        <v>7009320.0</v>
      </c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</row>
    <row r="54" ht="15.75" customHeight="1">
      <c r="A54" s="41"/>
      <c r="B54" s="42" t="s">
        <v>14</v>
      </c>
      <c r="C54" s="62" t="s">
        <v>66</v>
      </c>
      <c r="D54" s="24">
        <v>45164.0</v>
      </c>
      <c r="E54" s="24">
        <v>45260.0</v>
      </c>
      <c r="F54" s="44">
        <v>1.0</v>
      </c>
      <c r="G54" s="63" t="s">
        <v>52</v>
      </c>
      <c r="H54" s="26">
        <v>2863194.0</v>
      </c>
      <c r="I54" s="27">
        <f t="shared" si="39"/>
        <v>3.166666667</v>
      </c>
      <c r="J54" s="28">
        <f t="shared" si="34"/>
        <v>9066781</v>
      </c>
      <c r="K54" s="53">
        <f t="shared" si="36"/>
        <v>906678.1</v>
      </c>
      <c r="L54" s="46">
        <v>0.0</v>
      </c>
      <c r="M54" s="31">
        <f>J54*90%</f>
        <v>8160102.9</v>
      </c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</row>
    <row r="55" ht="15.75" customHeight="1">
      <c r="A55" s="41"/>
      <c r="B55" s="42" t="s">
        <v>14</v>
      </c>
      <c r="C55" s="62" t="s">
        <v>67</v>
      </c>
      <c r="D55" s="24">
        <v>45164.0</v>
      </c>
      <c r="E55" s="60">
        <v>45260.0</v>
      </c>
      <c r="F55" s="44">
        <v>1.0</v>
      </c>
      <c r="G55" s="63" t="s">
        <v>52</v>
      </c>
      <c r="H55" s="26">
        <v>2863194.0</v>
      </c>
      <c r="I55" s="27">
        <f t="shared" si="39"/>
        <v>3.166666667</v>
      </c>
      <c r="J55" s="28">
        <f t="shared" si="34"/>
        <v>9066781</v>
      </c>
      <c r="K55" s="53">
        <f t="shared" si="36"/>
        <v>906678.1</v>
      </c>
      <c r="L55" s="46">
        <v>0.0</v>
      </c>
      <c r="M55" s="31">
        <f>J55-K55</f>
        <v>8160102.9</v>
      </c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</row>
    <row r="56" ht="15.75" customHeight="1">
      <c r="A56" s="41"/>
      <c r="B56" s="42" t="s">
        <v>14</v>
      </c>
      <c r="C56" s="62" t="s">
        <v>68</v>
      </c>
      <c r="D56" s="24">
        <v>45164.0</v>
      </c>
      <c r="E56" s="24">
        <v>45229.0</v>
      </c>
      <c r="F56" s="44">
        <v>1.0</v>
      </c>
      <c r="G56" s="63" t="s">
        <v>52</v>
      </c>
      <c r="H56" s="26">
        <v>2863194.0</v>
      </c>
      <c r="I56" s="27">
        <f>(5/30)+2</f>
        <v>2.166666667</v>
      </c>
      <c r="J56" s="28">
        <f t="shared" si="34"/>
        <v>6203587</v>
      </c>
      <c r="K56" s="53">
        <f t="shared" si="36"/>
        <v>620358.7</v>
      </c>
      <c r="L56" s="46">
        <v>0.0</v>
      </c>
      <c r="M56" s="31">
        <f t="shared" ref="M56:M58" si="40">J56*90%</f>
        <v>5583228.3</v>
      </c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</row>
    <row r="57" ht="15.75" customHeight="1">
      <c r="A57" s="41"/>
      <c r="B57" s="42" t="s">
        <v>14</v>
      </c>
      <c r="C57" s="62" t="s">
        <v>69</v>
      </c>
      <c r="D57" s="24">
        <v>45164.0</v>
      </c>
      <c r="E57" s="24">
        <v>45260.0</v>
      </c>
      <c r="F57" s="44">
        <v>1.0</v>
      </c>
      <c r="G57" s="63" t="s">
        <v>52</v>
      </c>
      <c r="H57" s="26">
        <v>2863194.0</v>
      </c>
      <c r="I57" s="27">
        <f>(5/30)+3</f>
        <v>3.166666667</v>
      </c>
      <c r="J57" s="28">
        <f t="shared" si="34"/>
        <v>9066781</v>
      </c>
      <c r="K57" s="53">
        <f t="shared" si="36"/>
        <v>906678.1</v>
      </c>
      <c r="L57" s="46">
        <v>0.0</v>
      </c>
      <c r="M57" s="31">
        <f t="shared" si="40"/>
        <v>8160102.9</v>
      </c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</row>
    <row r="58" ht="15.75" customHeight="1">
      <c r="A58" s="41"/>
      <c r="B58" s="42" t="s">
        <v>14</v>
      </c>
      <c r="C58" s="62" t="s">
        <v>70</v>
      </c>
      <c r="D58" s="24">
        <v>45164.0</v>
      </c>
      <c r="E58" s="24">
        <v>45229.0</v>
      </c>
      <c r="F58" s="44">
        <v>1.0</v>
      </c>
      <c r="G58" s="63" t="s">
        <v>52</v>
      </c>
      <c r="H58" s="26">
        <v>2863194.0</v>
      </c>
      <c r="I58" s="27">
        <f>(5/30)+2</f>
        <v>2.166666667</v>
      </c>
      <c r="J58" s="28">
        <f t="shared" si="34"/>
        <v>6203587</v>
      </c>
      <c r="K58" s="53">
        <f t="shared" si="36"/>
        <v>620358.7</v>
      </c>
      <c r="L58" s="46">
        <v>0.0</v>
      </c>
      <c r="M58" s="31">
        <f t="shared" si="40"/>
        <v>5583228.3</v>
      </c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</row>
    <row r="59" ht="15.75" customHeight="1">
      <c r="A59" s="41"/>
      <c r="B59" s="42" t="s">
        <v>14</v>
      </c>
      <c r="C59" s="62" t="s">
        <v>71</v>
      </c>
      <c r="D59" s="24">
        <v>45164.0</v>
      </c>
      <c r="E59" s="60">
        <v>45260.0</v>
      </c>
      <c r="F59" s="44">
        <v>1.0</v>
      </c>
      <c r="G59" s="63" t="s">
        <v>52</v>
      </c>
      <c r="H59" s="26">
        <v>2863194.0</v>
      </c>
      <c r="I59" s="27">
        <f t="shared" ref="I59:I69" si="41">(5/30)+3</f>
        <v>3.166666667</v>
      </c>
      <c r="J59" s="28">
        <f t="shared" si="34"/>
        <v>9066781</v>
      </c>
      <c r="K59" s="53">
        <f t="shared" si="36"/>
        <v>906678.1</v>
      </c>
      <c r="L59" s="46">
        <v>0.0</v>
      </c>
      <c r="M59" s="31">
        <f>J59-K59</f>
        <v>8160102.9</v>
      </c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</row>
    <row r="60" ht="15.75" customHeight="1">
      <c r="A60" s="41"/>
      <c r="B60" s="42" t="s">
        <v>14</v>
      </c>
      <c r="C60" s="62" t="s">
        <v>72</v>
      </c>
      <c r="D60" s="24">
        <v>45164.0</v>
      </c>
      <c r="E60" s="24">
        <v>45260.0</v>
      </c>
      <c r="F60" s="44">
        <v>1.0</v>
      </c>
      <c r="G60" s="63" t="s">
        <v>52</v>
      </c>
      <c r="H60" s="26">
        <v>2863194.0</v>
      </c>
      <c r="I60" s="27">
        <f t="shared" si="41"/>
        <v>3.166666667</v>
      </c>
      <c r="J60" s="28">
        <f t="shared" si="34"/>
        <v>9066781</v>
      </c>
      <c r="K60" s="53">
        <f t="shared" si="36"/>
        <v>906678.1</v>
      </c>
      <c r="L60" s="46">
        <f>J60*90%</f>
        <v>8160102.9</v>
      </c>
      <c r="M60" s="31">
        <f>J60*0%</f>
        <v>0</v>
      </c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</row>
    <row r="61" ht="15.75" customHeight="1">
      <c r="A61" s="41"/>
      <c r="B61" s="42" t="s">
        <v>14</v>
      </c>
      <c r="C61" s="62" t="s">
        <v>73</v>
      </c>
      <c r="D61" s="24">
        <v>45164.0</v>
      </c>
      <c r="E61" s="60">
        <v>45260.0</v>
      </c>
      <c r="F61" s="44">
        <v>1.0</v>
      </c>
      <c r="G61" s="63" t="s">
        <v>52</v>
      </c>
      <c r="H61" s="26">
        <v>3523931.0</v>
      </c>
      <c r="I61" s="27">
        <f t="shared" si="41"/>
        <v>3.166666667</v>
      </c>
      <c r="J61" s="28">
        <f t="shared" si="34"/>
        <v>11159114.83</v>
      </c>
      <c r="K61" s="53">
        <f t="shared" si="36"/>
        <v>1115911.483</v>
      </c>
      <c r="L61" s="46">
        <v>0.0</v>
      </c>
      <c r="M61" s="31">
        <f>J61-K61</f>
        <v>10043203.35</v>
      </c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</row>
    <row r="62" ht="15.75" customHeight="1">
      <c r="A62" s="41"/>
      <c r="B62" s="42" t="s">
        <v>14</v>
      </c>
      <c r="C62" s="62" t="s">
        <v>74</v>
      </c>
      <c r="D62" s="24">
        <v>45164.0</v>
      </c>
      <c r="E62" s="24">
        <v>45260.0</v>
      </c>
      <c r="F62" s="44">
        <v>1.0</v>
      </c>
      <c r="G62" s="63" t="s">
        <v>52</v>
      </c>
      <c r="H62" s="26">
        <v>3523931.0</v>
      </c>
      <c r="I62" s="27">
        <f t="shared" si="41"/>
        <v>3.166666667</v>
      </c>
      <c r="J62" s="28">
        <f t="shared" si="34"/>
        <v>11159114.83</v>
      </c>
      <c r="K62" s="53">
        <f t="shared" si="36"/>
        <v>1115911.483</v>
      </c>
      <c r="L62" s="46">
        <v>0.0</v>
      </c>
      <c r="M62" s="31">
        <f t="shared" ref="M62:M63" si="42">J62*90%</f>
        <v>10043203.35</v>
      </c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</row>
    <row r="63" ht="15.75" customHeight="1">
      <c r="A63" s="41"/>
      <c r="B63" s="42" t="s">
        <v>14</v>
      </c>
      <c r="C63" s="62" t="s">
        <v>75</v>
      </c>
      <c r="D63" s="24">
        <v>45164.0</v>
      </c>
      <c r="E63" s="24">
        <v>45260.0</v>
      </c>
      <c r="F63" s="44">
        <v>1.0</v>
      </c>
      <c r="G63" s="63" t="s">
        <v>52</v>
      </c>
      <c r="H63" s="26">
        <v>3817592.0</v>
      </c>
      <c r="I63" s="27">
        <f t="shared" si="41"/>
        <v>3.166666667</v>
      </c>
      <c r="J63" s="28">
        <f t="shared" si="34"/>
        <v>12089041.33</v>
      </c>
      <c r="K63" s="53">
        <f t="shared" si="36"/>
        <v>1208904.133</v>
      </c>
      <c r="L63" s="46">
        <v>0.0</v>
      </c>
      <c r="M63" s="31">
        <f t="shared" si="42"/>
        <v>10880137.2</v>
      </c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</row>
    <row r="64" ht="15.75" customHeight="1">
      <c r="A64" s="41"/>
      <c r="B64" s="42" t="s">
        <v>14</v>
      </c>
      <c r="C64" s="62" t="s">
        <v>76</v>
      </c>
      <c r="D64" s="24">
        <v>45164.0</v>
      </c>
      <c r="E64" s="60">
        <v>45260.0</v>
      </c>
      <c r="F64" s="44">
        <v>1.0</v>
      </c>
      <c r="G64" s="63" t="s">
        <v>52</v>
      </c>
      <c r="H64" s="26">
        <v>3817592.0</v>
      </c>
      <c r="I64" s="27">
        <f t="shared" si="41"/>
        <v>3.166666667</v>
      </c>
      <c r="J64" s="28">
        <f t="shared" si="34"/>
        <v>12089041.33</v>
      </c>
      <c r="K64" s="53">
        <f t="shared" si="36"/>
        <v>1208904.133</v>
      </c>
      <c r="L64" s="46">
        <v>0.0</v>
      </c>
      <c r="M64" s="31">
        <f>J64-K64</f>
        <v>10880137.2</v>
      </c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</row>
    <row r="65" ht="15.75" customHeight="1">
      <c r="A65" s="41"/>
      <c r="B65" s="42" t="s">
        <v>14</v>
      </c>
      <c r="C65" s="62" t="s">
        <v>77</v>
      </c>
      <c r="D65" s="24">
        <v>45164.0</v>
      </c>
      <c r="E65" s="24">
        <v>45260.0</v>
      </c>
      <c r="F65" s="44">
        <v>1.0</v>
      </c>
      <c r="G65" s="63" t="s">
        <v>52</v>
      </c>
      <c r="H65" s="26">
        <v>3817592.0</v>
      </c>
      <c r="I65" s="27">
        <f t="shared" si="41"/>
        <v>3.166666667</v>
      </c>
      <c r="J65" s="28">
        <f t="shared" si="34"/>
        <v>12089041.33</v>
      </c>
      <c r="K65" s="53">
        <f t="shared" si="36"/>
        <v>1208904.133</v>
      </c>
      <c r="L65" s="64">
        <f>J65*90%</f>
        <v>10880137.2</v>
      </c>
      <c r="M65" s="47">
        <v>0.0</v>
      </c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</row>
    <row r="66" ht="15.75" customHeight="1">
      <c r="A66" s="41"/>
      <c r="B66" s="42" t="s">
        <v>14</v>
      </c>
      <c r="C66" s="62" t="s">
        <v>78</v>
      </c>
      <c r="D66" s="24">
        <v>45164.0</v>
      </c>
      <c r="E66" s="60">
        <v>45260.0</v>
      </c>
      <c r="F66" s="44">
        <v>1.0</v>
      </c>
      <c r="G66" s="63" t="s">
        <v>52</v>
      </c>
      <c r="H66" s="26">
        <v>3303685.0</v>
      </c>
      <c r="I66" s="27">
        <f t="shared" si="41"/>
        <v>3.166666667</v>
      </c>
      <c r="J66" s="28">
        <f t="shared" si="34"/>
        <v>10461669.17</v>
      </c>
      <c r="K66" s="53">
        <f t="shared" si="36"/>
        <v>1046166.917</v>
      </c>
      <c r="L66" s="46">
        <v>0.0</v>
      </c>
      <c r="M66" s="31">
        <f>J66-K66</f>
        <v>9415502.25</v>
      </c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</row>
    <row r="67" ht="15.75" customHeight="1">
      <c r="A67" s="41"/>
      <c r="B67" s="42" t="s">
        <v>14</v>
      </c>
      <c r="C67" s="62" t="s">
        <v>79</v>
      </c>
      <c r="D67" s="24">
        <v>45164.0</v>
      </c>
      <c r="E67" s="24">
        <v>45260.0</v>
      </c>
      <c r="F67" s="44">
        <v>1.0</v>
      </c>
      <c r="G67" s="63" t="s">
        <v>52</v>
      </c>
      <c r="H67" s="26">
        <v>3303685.0</v>
      </c>
      <c r="I67" s="27">
        <f t="shared" si="41"/>
        <v>3.166666667</v>
      </c>
      <c r="J67" s="28">
        <f t="shared" si="34"/>
        <v>10461669.17</v>
      </c>
      <c r="K67" s="53">
        <f t="shared" si="36"/>
        <v>1046166.917</v>
      </c>
      <c r="L67" s="64">
        <f>J67*90%</f>
        <v>9415502.25</v>
      </c>
      <c r="M67" s="47">
        <v>0.0</v>
      </c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</row>
    <row r="68" ht="15.75" customHeight="1">
      <c r="A68" s="41"/>
      <c r="B68" s="42" t="s">
        <v>14</v>
      </c>
      <c r="C68" s="62" t="s">
        <v>80</v>
      </c>
      <c r="D68" s="24">
        <v>45164.0</v>
      </c>
      <c r="E68" s="24">
        <v>45260.0</v>
      </c>
      <c r="F68" s="44">
        <v>1.0</v>
      </c>
      <c r="G68" s="63" t="s">
        <v>52</v>
      </c>
      <c r="H68" s="26">
        <v>3303685.0</v>
      </c>
      <c r="I68" s="27">
        <f t="shared" si="41"/>
        <v>3.166666667</v>
      </c>
      <c r="J68" s="28">
        <f t="shared" si="34"/>
        <v>10461669.17</v>
      </c>
      <c r="K68" s="53">
        <f t="shared" si="36"/>
        <v>1046166.917</v>
      </c>
      <c r="L68" s="46">
        <v>0.0</v>
      </c>
      <c r="M68" s="31">
        <f t="shared" ref="M68:M69" si="43">J68*90%</f>
        <v>9415502.25</v>
      </c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</row>
    <row r="69" ht="15.75" customHeight="1">
      <c r="A69" s="41"/>
      <c r="B69" s="42" t="s">
        <v>14</v>
      </c>
      <c r="C69" s="62" t="s">
        <v>81</v>
      </c>
      <c r="D69" s="24">
        <v>45164.0</v>
      </c>
      <c r="E69" s="24">
        <v>45260.0</v>
      </c>
      <c r="F69" s="44">
        <v>1.0</v>
      </c>
      <c r="G69" s="63" t="s">
        <v>52</v>
      </c>
      <c r="H69" s="26">
        <v>4918821.0</v>
      </c>
      <c r="I69" s="27">
        <f t="shared" si="41"/>
        <v>3.166666667</v>
      </c>
      <c r="J69" s="28">
        <f t="shared" si="34"/>
        <v>15576266.5</v>
      </c>
      <c r="K69" s="53">
        <f t="shared" si="36"/>
        <v>1557626.65</v>
      </c>
      <c r="L69" s="46">
        <v>0.0</v>
      </c>
      <c r="M69" s="31">
        <f t="shared" si="43"/>
        <v>14018639.85</v>
      </c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</row>
    <row r="70" ht="15.75" customHeight="1">
      <c r="A70" s="41"/>
      <c r="B70" s="42" t="s">
        <v>14</v>
      </c>
      <c r="C70" s="62" t="s">
        <v>82</v>
      </c>
      <c r="D70" s="24">
        <v>45164.0</v>
      </c>
      <c r="E70" s="60">
        <v>45260.0</v>
      </c>
      <c r="F70" s="44">
        <v>1.0</v>
      </c>
      <c r="G70" s="63" t="s">
        <v>52</v>
      </c>
      <c r="H70" s="26">
        <v>4918821.0</v>
      </c>
      <c r="I70" s="27">
        <v>3.1666666666666665</v>
      </c>
      <c r="J70" s="28">
        <f t="shared" si="34"/>
        <v>15576266.5</v>
      </c>
      <c r="K70" s="53">
        <f t="shared" si="36"/>
        <v>1557626.65</v>
      </c>
      <c r="L70" s="46">
        <v>0.0</v>
      </c>
      <c r="M70" s="31">
        <f>J70-K70</f>
        <v>14018639.85</v>
      </c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</row>
    <row r="71" ht="15.75" customHeight="1">
      <c r="A71" s="41"/>
      <c r="B71" s="42" t="s">
        <v>14</v>
      </c>
      <c r="C71" s="62" t="s">
        <v>83</v>
      </c>
      <c r="D71" s="24">
        <v>45164.0</v>
      </c>
      <c r="E71" s="24">
        <v>45229.0</v>
      </c>
      <c r="F71" s="44">
        <v>1.0</v>
      </c>
      <c r="G71" s="63" t="s">
        <v>52</v>
      </c>
      <c r="H71" s="26">
        <v>4918821.0</v>
      </c>
      <c r="I71" s="27">
        <f>(5/30)+2</f>
        <v>2.166666667</v>
      </c>
      <c r="J71" s="28">
        <f t="shared" si="34"/>
        <v>10657445.5</v>
      </c>
      <c r="K71" s="53">
        <f t="shared" si="36"/>
        <v>1065744.55</v>
      </c>
      <c r="L71" s="64">
        <f>J71*90%</f>
        <v>9591700.95</v>
      </c>
      <c r="M71" s="47">
        <v>0.0</v>
      </c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</row>
    <row r="72" ht="15.75" customHeight="1">
      <c r="A72" s="41"/>
      <c r="B72" s="42" t="s">
        <v>14</v>
      </c>
      <c r="C72" s="62" t="s">
        <v>84</v>
      </c>
      <c r="D72" s="24">
        <v>45164.0</v>
      </c>
      <c r="E72" s="60">
        <v>45260.0</v>
      </c>
      <c r="F72" s="44">
        <v>1.0</v>
      </c>
      <c r="G72" s="63" t="s">
        <v>52</v>
      </c>
      <c r="H72" s="26">
        <v>2863194.0</v>
      </c>
      <c r="I72" s="27">
        <v>3.1666666666666665</v>
      </c>
      <c r="J72" s="28">
        <f t="shared" si="34"/>
        <v>9066781</v>
      </c>
      <c r="K72" s="53">
        <f t="shared" si="36"/>
        <v>906678.1</v>
      </c>
      <c r="L72" s="46">
        <v>0.0</v>
      </c>
      <c r="M72" s="31">
        <f>J72-K72</f>
        <v>8160102.9</v>
      </c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</row>
    <row r="73" ht="26.25" customHeight="1">
      <c r="A73" s="41"/>
      <c r="B73" s="42" t="s">
        <v>14</v>
      </c>
      <c r="C73" s="62" t="s">
        <v>85</v>
      </c>
      <c r="D73" s="24">
        <v>45164.0</v>
      </c>
      <c r="E73" s="24">
        <v>45230.0</v>
      </c>
      <c r="F73" s="44">
        <v>1.0</v>
      </c>
      <c r="G73" s="63" t="s">
        <v>52</v>
      </c>
      <c r="H73" s="26">
        <v>2863194.0</v>
      </c>
      <c r="I73" s="27">
        <v>2.17</v>
      </c>
      <c r="J73" s="28">
        <f t="shared" si="34"/>
        <v>6213130.98</v>
      </c>
      <c r="K73" s="53">
        <f t="shared" si="36"/>
        <v>621313.098</v>
      </c>
      <c r="L73" s="46">
        <f t="shared" ref="L73:L74" si="44">J73*90%</f>
        <v>5591817.882</v>
      </c>
      <c r="M73" s="31">
        <v>0.0</v>
      </c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</row>
    <row r="74" ht="15.75" customHeight="1">
      <c r="A74" s="41"/>
      <c r="B74" s="42" t="s">
        <v>14</v>
      </c>
      <c r="C74" s="62" t="s">
        <v>86</v>
      </c>
      <c r="D74" s="24">
        <v>45164.0</v>
      </c>
      <c r="E74" s="65">
        <v>45260.0</v>
      </c>
      <c r="F74" s="44">
        <v>1.0</v>
      </c>
      <c r="G74" s="63" t="s">
        <v>52</v>
      </c>
      <c r="H74" s="26">
        <v>2863194.0</v>
      </c>
      <c r="I74" s="27">
        <v>3.17</v>
      </c>
      <c r="J74" s="28">
        <f t="shared" si="34"/>
        <v>9076324.98</v>
      </c>
      <c r="K74" s="53">
        <f t="shared" si="36"/>
        <v>907632.498</v>
      </c>
      <c r="L74" s="46">
        <f t="shared" si="44"/>
        <v>8168692.482</v>
      </c>
      <c r="M74" s="31">
        <v>0.0</v>
      </c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</row>
    <row r="75" ht="15.75" customHeight="1">
      <c r="A75" s="41"/>
      <c r="B75" s="42" t="s">
        <v>14</v>
      </c>
      <c r="C75" s="62" t="s">
        <v>87</v>
      </c>
      <c r="D75" s="24">
        <v>45164.0</v>
      </c>
      <c r="E75" s="60">
        <v>45260.0</v>
      </c>
      <c r="F75" s="44">
        <v>1.0</v>
      </c>
      <c r="G75" s="63" t="s">
        <v>52</v>
      </c>
      <c r="H75" s="26">
        <v>2863194.0</v>
      </c>
      <c r="I75" s="27">
        <v>3.17</v>
      </c>
      <c r="J75" s="28">
        <f t="shared" si="34"/>
        <v>9076324.98</v>
      </c>
      <c r="K75" s="53">
        <v>916222.0</v>
      </c>
      <c r="L75" s="46">
        <v>0.0</v>
      </c>
      <c r="M75" s="31">
        <f>J75-K75</f>
        <v>8160102.98</v>
      </c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</row>
    <row r="76" ht="15.75" customHeight="1">
      <c r="A76" s="41"/>
      <c r="B76" s="42" t="s">
        <v>14</v>
      </c>
      <c r="C76" s="62" t="s">
        <v>88</v>
      </c>
      <c r="D76" s="24">
        <v>45164.0</v>
      </c>
      <c r="E76" s="24">
        <v>45260.0</v>
      </c>
      <c r="F76" s="44">
        <v>1.0</v>
      </c>
      <c r="G76" s="63" t="s">
        <v>52</v>
      </c>
      <c r="H76" s="26">
        <v>2863194.0</v>
      </c>
      <c r="I76" s="27">
        <f t="shared" ref="I76:I80" si="45">(5/30)+3</f>
        <v>3.166666667</v>
      </c>
      <c r="J76" s="28">
        <f t="shared" si="34"/>
        <v>9066781</v>
      </c>
      <c r="K76" s="53">
        <f t="shared" ref="K76:K79" si="46">J76*10%</f>
        <v>906678.1</v>
      </c>
      <c r="L76" s="46">
        <f>J76*90%</f>
        <v>8160102.9</v>
      </c>
      <c r="M76" s="31">
        <v>0.0</v>
      </c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</row>
    <row r="77" ht="15.75" customHeight="1">
      <c r="A77" s="41"/>
      <c r="B77" s="42" t="s">
        <v>14</v>
      </c>
      <c r="C77" s="62" t="s">
        <v>89</v>
      </c>
      <c r="D77" s="24">
        <v>45164.0</v>
      </c>
      <c r="E77" s="60">
        <v>45260.0</v>
      </c>
      <c r="F77" s="44">
        <v>1.0</v>
      </c>
      <c r="G77" s="63" t="s">
        <v>52</v>
      </c>
      <c r="H77" s="26">
        <v>3356644.0</v>
      </c>
      <c r="I77" s="27">
        <f t="shared" si="45"/>
        <v>3.166666667</v>
      </c>
      <c r="J77" s="28">
        <f t="shared" si="34"/>
        <v>10629372.67</v>
      </c>
      <c r="K77" s="53">
        <f t="shared" si="46"/>
        <v>1062937.267</v>
      </c>
      <c r="L77" s="46">
        <v>0.0</v>
      </c>
      <c r="M77" s="31">
        <f t="shared" ref="M77:M78" si="47">J77-K77</f>
        <v>9566435.4</v>
      </c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</row>
    <row r="78" ht="15.75" customHeight="1">
      <c r="A78" s="41"/>
      <c r="B78" s="42" t="s">
        <v>14</v>
      </c>
      <c r="C78" s="62" t="s">
        <v>90</v>
      </c>
      <c r="D78" s="24">
        <v>45164.0</v>
      </c>
      <c r="E78" s="24">
        <v>45260.0</v>
      </c>
      <c r="F78" s="44">
        <v>1.0</v>
      </c>
      <c r="G78" s="63" t="s">
        <v>52</v>
      </c>
      <c r="H78" s="26">
        <v>3356644.0</v>
      </c>
      <c r="I78" s="27">
        <f t="shared" si="45"/>
        <v>3.166666667</v>
      </c>
      <c r="J78" s="28">
        <f t="shared" si="34"/>
        <v>10629372.67</v>
      </c>
      <c r="K78" s="53">
        <f t="shared" si="46"/>
        <v>1062937.267</v>
      </c>
      <c r="L78" s="46">
        <v>0.0</v>
      </c>
      <c r="M78" s="31">
        <f t="shared" si="47"/>
        <v>9566435.4</v>
      </c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</row>
    <row r="79" ht="15.75" customHeight="1">
      <c r="A79" s="41"/>
      <c r="B79" s="42" t="s">
        <v>14</v>
      </c>
      <c r="C79" s="62" t="s">
        <v>91</v>
      </c>
      <c r="D79" s="24">
        <v>45164.0</v>
      </c>
      <c r="E79" s="24">
        <v>45260.0</v>
      </c>
      <c r="F79" s="44">
        <v>1.0</v>
      </c>
      <c r="G79" s="63" t="s">
        <v>52</v>
      </c>
      <c r="H79" s="26">
        <v>3356644.0</v>
      </c>
      <c r="I79" s="27">
        <f t="shared" si="45"/>
        <v>3.166666667</v>
      </c>
      <c r="J79" s="28">
        <f t="shared" si="34"/>
        <v>10629372.67</v>
      </c>
      <c r="K79" s="53">
        <f t="shared" si="46"/>
        <v>1062937.267</v>
      </c>
      <c r="L79" s="64">
        <f>J79*90%</f>
        <v>9566435.4</v>
      </c>
      <c r="M79" s="47">
        <v>0.0</v>
      </c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</row>
    <row r="80" ht="15.75" customHeight="1">
      <c r="A80" s="41"/>
      <c r="B80" s="42" t="s">
        <v>14</v>
      </c>
      <c r="C80" s="62" t="s">
        <v>92</v>
      </c>
      <c r="D80" s="24">
        <v>45164.0</v>
      </c>
      <c r="E80" s="24">
        <v>45260.0</v>
      </c>
      <c r="F80" s="44">
        <v>1.0</v>
      </c>
      <c r="G80" s="63" t="s">
        <v>52</v>
      </c>
      <c r="H80" s="26">
        <v>3000000.0</v>
      </c>
      <c r="I80" s="27">
        <f t="shared" si="45"/>
        <v>3.166666667</v>
      </c>
      <c r="J80" s="28">
        <f t="shared" si="34"/>
        <v>9500000</v>
      </c>
      <c r="K80" s="64">
        <f>+J80</f>
        <v>9500000</v>
      </c>
      <c r="L80" s="48"/>
      <c r="M80" s="47">
        <v>0.0</v>
      </c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</row>
    <row r="81" ht="15.75" customHeight="1">
      <c r="A81" s="49"/>
      <c r="B81" s="19"/>
      <c r="C81" s="18" t="s">
        <v>93</v>
      </c>
      <c r="D81" s="19"/>
      <c r="E81" s="19"/>
      <c r="F81" s="19"/>
      <c r="G81" s="66"/>
      <c r="H81" s="19"/>
      <c r="I81" s="19"/>
      <c r="J81" s="61">
        <f t="shared" ref="J81:M81" si="48">SUM(J82:J85)</f>
        <v>32563555.33</v>
      </c>
      <c r="K81" s="61">
        <f t="shared" si="48"/>
        <v>3256355.533</v>
      </c>
      <c r="L81" s="61">
        <f t="shared" si="48"/>
        <v>13025423.02</v>
      </c>
      <c r="M81" s="61">
        <f t="shared" si="48"/>
        <v>16281776.83</v>
      </c>
    </row>
    <row r="82" ht="15.75" customHeight="1">
      <c r="A82" s="41"/>
      <c r="B82" s="42" t="s">
        <v>25</v>
      </c>
      <c r="C82" s="62" t="s">
        <v>94</v>
      </c>
      <c r="D82" s="24">
        <v>45164.0</v>
      </c>
      <c r="E82" s="60">
        <v>45260.0</v>
      </c>
      <c r="F82" s="44">
        <v>1.0</v>
      </c>
      <c r="G82" s="63" t="s">
        <v>52</v>
      </c>
      <c r="H82" s="26">
        <v>2570807.0</v>
      </c>
      <c r="I82" s="27">
        <f t="shared" ref="I82:I85" si="49">(5/30)+3</f>
        <v>3.166666667</v>
      </c>
      <c r="J82" s="28">
        <f t="shared" ref="J82:J85" si="50">H82*I82</f>
        <v>8140888.833</v>
      </c>
      <c r="K82" s="53">
        <f t="shared" ref="K82:K85" si="51">J82*10%</f>
        <v>814088.8833</v>
      </c>
      <c r="L82" s="67">
        <f>J82-K82-M82</f>
        <v>3256355.95</v>
      </c>
      <c r="M82" s="47">
        <v>4070444.0</v>
      </c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</row>
    <row r="83" ht="15.75" customHeight="1">
      <c r="A83" s="41"/>
      <c r="B83" s="42" t="s">
        <v>25</v>
      </c>
      <c r="C83" s="62" t="s">
        <v>95</v>
      </c>
      <c r="D83" s="24">
        <v>45164.0</v>
      </c>
      <c r="E83" s="24">
        <v>45260.0</v>
      </c>
      <c r="F83" s="44">
        <v>1.0</v>
      </c>
      <c r="G83" s="63" t="s">
        <v>52</v>
      </c>
      <c r="H83" s="26">
        <v>2570807.0</v>
      </c>
      <c r="I83" s="27">
        <f t="shared" si="49"/>
        <v>3.166666667</v>
      </c>
      <c r="J83" s="28">
        <f t="shared" si="50"/>
        <v>8140888.833</v>
      </c>
      <c r="K83" s="53">
        <f t="shared" si="51"/>
        <v>814088.8833</v>
      </c>
      <c r="L83" s="67">
        <f>J83*40%</f>
        <v>3256355.533</v>
      </c>
      <c r="M83" s="47">
        <f>J83*50%</f>
        <v>4070444.417</v>
      </c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</row>
    <row r="84" ht="15.75" customHeight="1">
      <c r="A84" s="41"/>
      <c r="B84" s="42" t="s">
        <v>25</v>
      </c>
      <c r="C84" s="62" t="s">
        <v>96</v>
      </c>
      <c r="D84" s="24">
        <v>45164.0</v>
      </c>
      <c r="E84" s="60">
        <v>45260.0</v>
      </c>
      <c r="F84" s="44">
        <v>1.0</v>
      </c>
      <c r="G84" s="63" t="s">
        <v>52</v>
      </c>
      <c r="H84" s="26">
        <v>2570807.0</v>
      </c>
      <c r="I84" s="27">
        <f t="shared" si="49"/>
        <v>3.166666667</v>
      </c>
      <c r="J84" s="28">
        <f t="shared" si="50"/>
        <v>8140888.833</v>
      </c>
      <c r="K84" s="53">
        <f t="shared" si="51"/>
        <v>814088.8833</v>
      </c>
      <c r="L84" s="67">
        <v>3256356.0</v>
      </c>
      <c r="M84" s="47">
        <v>4070444.0</v>
      </c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</row>
    <row r="85" ht="15.75" customHeight="1">
      <c r="A85" s="41"/>
      <c r="B85" s="42" t="s">
        <v>25</v>
      </c>
      <c r="C85" s="62" t="s">
        <v>97</v>
      </c>
      <c r="D85" s="24">
        <v>45164.0</v>
      </c>
      <c r="E85" s="24">
        <v>45260.0</v>
      </c>
      <c r="F85" s="44">
        <v>1.0</v>
      </c>
      <c r="G85" s="63" t="s">
        <v>52</v>
      </c>
      <c r="H85" s="26">
        <v>2570807.0</v>
      </c>
      <c r="I85" s="27">
        <f t="shared" si="49"/>
        <v>3.166666667</v>
      </c>
      <c r="J85" s="28">
        <f t="shared" si="50"/>
        <v>8140888.833</v>
      </c>
      <c r="K85" s="53">
        <f t="shared" si="51"/>
        <v>814088.8833</v>
      </c>
      <c r="L85" s="67">
        <f>J85*40%</f>
        <v>3256355.533</v>
      </c>
      <c r="M85" s="47">
        <f>J85*50%</f>
        <v>4070444.417</v>
      </c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</row>
    <row r="86" ht="15.75" customHeight="1">
      <c r="A86" s="49"/>
      <c r="B86" s="19"/>
      <c r="C86" s="18" t="s">
        <v>98</v>
      </c>
      <c r="D86" s="19"/>
      <c r="E86" s="19"/>
      <c r="F86" s="19"/>
      <c r="G86" s="66"/>
      <c r="H86" s="19"/>
      <c r="I86" s="19"/>
      <c r="J86" s="68">
        <f t="shared" ref="J86:M86" si="52">SUM(J87:J94)</f>
        <v>84373310.53</v>
      </c>
      <c r="K86" s="68">
        <f t="shared" si="52"/>
        <v>6411841.333</v>
      </c>
      <c r="L86" s="68">
        <f t="shared" si="52"/>
        <v>29550853.98</v>
      </c>
      <c r="M86" s="68">
        <f t="shared" si="52"/>
        <v>48410615.22</v>
      </c>
    </row>
    <row r="87" ht="15.75" customHeight="1">
      <c r="A87" s="41"/>
      <c r="B87" s="42" t="s">
        <v>25</v>
      </c>
      <c r="C87" s="62" t="s">
        <v>99</v>
      </c>
      <c r="D87" s="24">
        <v>45164.0</v>
      </c>
      <c r="E87" s="60">
        <v>45260.0</v>
      </c>
      <c r="F87" s="44">
        <v>1.0</v>
      </c>
      <c r="G87" s="63" t="s">
        <v>52</v>
      </c>
      <c r="H87" s="26">
        <v>6042074.0</v>
      </c>
      <c r="I87" s="27">
        <v>3.1666666666666665</v>
      </c>
      <c r="J87" s="28">
        <f t="shared" ref="J87:J94" si="53">H87*I87</f>
        <v>19133234.33</v>
      </c>
      <c r="K87" s="53">
        <f t="shared" ref="K87:K90" si="54">J87*10%</f>
        <v>1913323.433</v>
      </c>
      <c r="L87" s="67">
        <f t="shared" ref="L87:L90" si="55">J87*30%</f>
        <v>5739970.3</v>
      </c>
      <c r="M87" s="47">
        <f t="shared" ref="M87:M93" si="56">J87*60%</f>
        <v>11479940.6</v>
      </c>
      <c r="N87" s="48"/>
      <c r="O87" s="69"/>
      <c r="P87" s="48"/>
      <c r="Q87" s="70"/>
      <c r="R87" s="48"/>
      <c r="S87" s="48"/>
      <c r="T87" s="48"/>
      <c r="U87" s="48"/>
      <c r="V87" s="48"/>
      <c r="W87" s="48"/>
      <c r="X87" s="48"/>
    </row>
    <row r="88" ht="15.75" customHeight="1">
      <c r="A88" s="41"/>
      <c r="B88" s="42" t="s">
        <v>25</v>
      </c>
      <c r="C88" s="62" t="s">
        <v>100</v>
      </c>
      <c r="D88" s="24">
        <v>45164.0</v>
      </c>
      <c r="E88" s="60">
        <v>45260.0</v>
      </c>
      <c r="F88" s="44">
        <v>1.0</v>
      </c>
      <c r="G88" s="63" t="s">
        <v>52</v>
      </c>
      <c r="H88" s="26">
        <v>3303685.0</v>
      </c>
      <c r="I88" s="27">
        <v>3.1666666666666665</v>
      </c>
      <c r="J88" s="28">
        <f t="shared" si="53"/>
        <v>10461669.17</v>
      </c>
      <c r="K88" s="53">
        <f t="shared" si="54"/>
        <v>1046166.917</v>
      </c>
      <c r="L88" s="67">
        <f t="shared" si="55"/>
        <v>3138500.75</v>
      </c>
      <c r="M88" s="47">
        <f t="shared" si="56"/>
        <v>6277001.5</v>
      </c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</row>
    <row r="89" ht="15.75" customHeight="1">
      <c r="A89" s="41"/>
      <c r="B89" s="42" t="s">
        <v>25</v>
      </c>
      <c r="C89" s="62" t="s">
        <v>101</v>
      </c>
      <c r="D89" s="24">
        <v>45164.0</v>
      </c>
      <c r="E89" s="24">
        <v>45260.0</v>
      </c>
      <c r="F89" s="44">
        <v>1.0</v>
      </c>
      <c r="G89" s="63" t="s">
        <v>52</v>
      </c>
      <c r="H89" s="26">
        <v>3303685.0</v>
      </c>
      <c r="I89" s="27">
        <f t="shared" ref="I89:I93" si="57">(5/30)+3</f>
        <v>3.166666667</v>
      </c>
      <c r="J89" s="28">
        <f t="shared" si="53"/>
        <v>10461669.17</v>
      </c>
      <c r="K89" s="53">
        <f t="shared" si="54"/>
        <v>1046166.917</v>
      </c>
      <c r="L89" s="67">
        <f t="shared" si="55"/>
        <v>3138500.75</v>
      </c>
      <c r="M89" s="47">
        <f t="shared" si="56"/>
        <v>6277001.5</v>
      </c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</row>
    <row r="90" ht="15.75" customHeight="1">
      <c r="A90" s="41"/>
      <c r="B90" s="42" t="s">
        <v>25</v>
      </c>
      <c r="C90" s="62" t="s">
        <v>102</v>
      </c>
      <c r="D90" s="24">
        <v>45164.0</v>
      </c>
      <c r="E90" s="24">
        <v>45260.0</v>
      </c>
      <c r="F90" s="44">
        <v>1.0</v>
      </c>
      <c r="G90" s="63" t="s">
        <v>52</v>
      </c>
      <c r="H90" s="26">
        <v>3303685.0</v>
      </c>
      <c r="I90" s="27">
        <f t="shared" si="57"/>
        <v>3.166666667</v>
      </c>
      <c r="J90" s="28">
        <f t="shared" si="53"/>
        <v>10461669.17</v>
      </c>
      <c r="K90" s="53">
        <f t="shared" si="54"/>
        <v>1046166.917</v>
      </c>
      <c r="L90" s="67">
        <f t="shared" si="55"/>
        <v>3138500.75</v>
      </c>
      <c r="M90" s="47">
        <f t="shared" si="56"/>
        <v>6277001.5</v>
      </c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</row>
    <row r="91" ht="15.75" customHeight="1">
      <c r="A91" s="41"/>
      <c r="B91" s="42" t="s">
        <v>25</v>
      </c>
      <c r="C91" s="62" t="s">
        <v>103</v>
      </c>
      <c r="D91" s="24">
        <v>45164.0</v>
      </c>
      <c r="E91" s="24">
        <v>45260.0</v>
      </c>
      <c r="F91" s="44">
        <v>1.0</v>
      </c>
      <c r="G91" s="63" t="s">
        <v>52</v>
      </c>
      <c r="H91" s="26">
        <v>2863194.0</v>
      </c>
      <c r="I91" s="27">
        <f t="shared" si="57"/>
        <v>3.166666667</v>
      </c>
      <c r="J91" s="28">
        <f t="shared" si="53"/>
        <v>9066781</v>
      </c>
      <c r="K91" s="53">
        <f t="shared" ref="K91:K93" si="58">J91*5%</f>
        <v>453339.05</v>
      </c>
      <c r="L91" s="67">
        <f t="shared" ref="L91:L93" si="59">J91*35%</f>
        <v>3173373.35</v>
      </c>
      <c r="M91" s="47">
        <f t="shared" si="56"/>
        <v>5440068.6</v>
      </c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</row>
    <row r="92" ht="15.75" customHeight="1">
      <c r="A92" s="41"/>
      <c r="B92" s="42" t="s">
        <v>25</v>
      </c>
      <c r="C92" s="62" t="s">
        <v>104</v>
      </c>
      <c r="D92" s="24">
        <v>45164.0</v>
      </c>
      <c r="E92" s="24">
        <v>45260.0</v>
      </c>
      <c r="F92" s="44">
        <v>1.0</v>
      </c>
      <c r="G92" s="63" t="s">
        <v>52</v>
      </c>
      <c r="H92" s="26">
        <v>2863194.0</v>
      </c>
      <c r="I92" s="27">
        <f t="shared" si="57"/>
        <v>3.166666667</v>
      </c>
      <c r="J92" s="28">
        <f t="shared" si="53"/>
        <v>9066781</v>
      </c>
      <c r="K92" s="53">
        <f t="shared" si="58"/>
        <v>453339.05</v>
      </c>
      <c r="L92" s="67">
        <f t="shared" si="59"/>
        <v>3173373.35</v>
      </c>
      <c r="M92" s="47">
        <f t="shared" si="56"/>
        <v>5440068.6</v>
      </c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</row>
    <row r="93" ht="15.75" customHeight="1">
      <c r="A93" s="41"/>
      <c r="B93" s="42" t="s">
        <v>25</v>
      </c>
      <c r="C93" s="62" t="s">
        <v>105</v>
      </c>
      <c r="D93" s="24">
        <v>45164.0</v>
      </c>
      <c r="E93" s="60">
        <v>45260.0</v>
      </c>
      <c r="F93" s="44">
        <v>1.0</v>
      </c>
      <c r="G93" s="63" t="s">
        <v>52</v>
      </c>
      <c r="H93" s="26">
        <v>2863194.0</v>
      </c>
      <c r="I93" s="27">
        <f t="shared" si="57"/>
        <v>3.166666667</v>
      </c>
      <c r="J93" s="28">
        <f t="shared" si="53"/>
        <v>9066781</v>
      </c>
      <c r="K93" s="53">
        <f t="shared" si="58"/>
        <v>453339.05</v>
      </c>
      <c r="L93" s="67">
        <f t="shared" si="59"/>
        <v>3173373.35</v>
      </c>
      <c r="M93" s="47">
        <f t="shared" si="56"/>
        <v>5440068.6</v>
      </c>
      <c r="N93" s="48"/>
      <c r="O93" s="69"/>
      <c r="P93" s="48"/>
      <c r="Q93" s="48"/>
      <c r="R93" s="48"/>
      <c r="S93" s="48"/>
      <c r="T93" s="48"/>
      <c r="U93" s="48"/>
      <c r="V93" s="48"/>
      <c r="W93" s="48"/>
      <c r="X93" s="48"/>
    </row>
    <row r="94" ht="15.75" customHeight="1">
      <c r="A94" s="41"/>
      <c r="B94" s="42" t="s">
        <v>25</v>
      </c>
      <c r="C94" s="62" t="s">
        <v>106</v>
      </c>
      <c r="D94" s="24">
        <v>45164.0</v>
      </c>
      <c r="E94" s="60">
        <v>45229.0</v>
      </c>
      <c r="F94" s="44">
        <v>1.0</v>
      </c>
      <c r="G94" s="63" t="s">
        <v>52</v>
      </c>
      <c r="H94" s="26">
        <v>2893359.0</v>
      </c>
      <c r="I94" s="27">
        <v>2.3</v>
      </c>
      <c r="J94" s="28">
        <f t="shared" si="53"/>
        <v>6654725.7</v>
      </c>
      <c r="K94" s="53"/>
      <c r="L94" s="67">
        <v>4875261.383333325</v>
      </c>
      <c r="M94" s="31">
        <f>J94-L94</f>
        <v>1779464.317</v>
      </c>
      <c r="N94" s="48"/>
      <c r="O94" s="71"/>
      <c r="P94" s="48"/>
      <c r="Q94" s="48"/>
      <c r="R94" s="48"/>
      <c r="S94" s="48"/>
      <c r="T94" s="48"/>
      <c r="U94" s="48"/>
      <c r="V94" s="48"/>
      <c r="W94" s="48"/>
      <c r="X94" s="48"/>
    </row>
    <row r="95" ht="15.75" customHeight="1">
      <c r="A95" s="72"/>
      <c r="B95" s="72"/>
      <c r="C95" s="72"/>
      <c r="D95" s="72"/>
      <c r="E95" s="72"/>
      <c r="F95" s="72"/>
      <c r="G95" s="72"/>
      <c r="H95" s="73"/>
      <c r="I95" s="74" t="s">
        <v>107</v>
      </c>
      <c r="J95" s="75">
        <f t="shared" ref="J95:M95" si="60">J2+J13+J37+J10</f>
        <v>972260565.1</v>
      </c>
      <c r="K95" s="75">
        <f t="shared" si="60"/>
        <v>94828912.48</v>
      </c>
      <c r="L95" s="75">
        <f t="shared" si="60"/>
        <v>372954696.2</v>
      </c>
      <c r="M95" s="75">
        <f t="shared" si="60"/>
        <v>504476956.7</v>
      </c>
    </row>
    <row r="96" ht="15.75" customHeight="1">
      <c r="A96" s="72"/>
      <c r="B96" s="72"/>
      <c r="C96" s="72"/>
      <c r="D96" s="72"/>
      <c r="E96" s="72"/>
      <c r="F96" s="72"/>
      <c r="G96" s="76"/>
      <c r="H96" s="73"/>
      <c r="I96" s="74" t="s">
        <v>108</v>
      </c>
      <c r="J96" s="75">
        <f>L96+M96</f>
        <v>3509726.611</v>
      </c>
      <c r="K96" s="77"/>
      <c r="L96" s="78">
        <f t="shared" ref="L96:M96" si="61">+L95*0.004</f>
        <v>1491818.785</v>
      </c>
      <c r="M96" s="79">
        <f t="shared" si="61"/>
        <v>2017907.827</v>
      </c>
    </row>
    <row r="97" ht="15.75" customHeight="1">
      <c r="A97" s="72"/>
      <c r="B97" s="72"/>
      <c r="C97" s="72"/>
      <c r="D97" s="72"/>
      <c r="E97" s="72"/>
      <c r="F97" s="72"/>
      <c r="G97" s="72"/>
      <c r="H97" s="73"/>
      <c r="I97" s="74" t="s">
        <v>109</v>
      </c>
      <c r="J97" s="80">
        <f t="shared" ref="J97:M97" si="62">+J95+J96</f>
        <v>975770291.8</v>
      </c>
      <c r="K97" s="80">
        <f t="shared" si="62"/>
        <v>94828912.48</v>
      </c>
      <c r="L97" s="80">
        <f t="shared" si="62"/>
        <v>374446515</v>
      </c>
      <c r="M97" s="80">
        <f t="shared" si="62"/>
        <v>506494864.5</v>
      </c>
    </row>
    <row r="98" ht="15.75" customHeight="1">
      <c r="J98" s="81"/>
      <c r="K98" s="82"/>
      <c r="L98" s="82"/>
      <c r="M98" s="82"/>
    </row>
    <row r="99" ht="15.75" customHeight="1"/>
    <row r="100" ht="15.75" customHeight="1">
      <c r="H100" s="83"/>
      <c r="I100" s="83"/>
      <c r="J100" s="84"/>
    </row>
    <row r="101" ht="15.75" customHeight="1">
      <c r="H101" s="85" t="s">
        <v>110</v>
      </c>
      <c r="I101" s="86"/>
      <c r="J101" s="87"/>
    </row>
    <row r="102" ht="15.75" customHeight="1">
      <c r="H102" s="88" t="s">
        <v>111</v>
      </c>
      <c r="I102" s="87"/>
      <c r="J102" s="89">
        <f>+(K95+L95+M95)*8.97%</f>
        <v>87211772.71</v>
      </c>
    </row>
    <row r="103" ht="15.75" customHeight="1">
      <c r="H103" s="88" t="s">
        <v>112</v>
      </c>
      <c r="I103" s="87"/>
      <c r="J103" s="89">
        <f>+((K97+L95+M95+J102)*0.1)*19%</f>
        <v>20129974.42</v>
      </c>
    </row>
    <row r="104" ht="15.75" customHeight="1">
      <c r="H104" s="88" t="s">
        <v>113</v>
      </c>
      <c r="I104" s="87"/>
      <c r="J104" s="89">
        <f>15000000*3</f>
        <v>45000000</v>
      </c>
    </row>
    <row r="105" ht="15.75" customHeight="1">
      <c r="H105" s="88" t="s">
        <v>114</v>
      </c>
      <c r="I105" s="87"/>
      <c r="J105" s="89">
        <f>5000000*3</f>
        <v>15000000</v>
      </c>
    </row>
    <row r="106" ht="15.75" customHeight="1">
      <c r="H106" s="90" t="s">
        <v>109</v>
      </c>
      <c r="I106" s="87"/>
      <c r="J106" s="91">
        <f>SUM(J102:J105)</f>
        <v>167341747.1</v>
      </c>
      <c r="K106" s="84"/>
      <c r="L106" s="83"/>
    </row>
    <row r="107" ht="15.75" customHeight="1">
      <c r="H107" s="92" t="s">
        <v>115</v>
      </c>
      <c r="J107" s="83"/>
      <c r="K107" s="83"/>
      <c r="L107" s="83"/>
    </row>
    <row r="108" ht="15.75" customHeight="1">
      <c r="J108" s="83"/>
      <c r="K108" s="83"/>
      <c r="L108" s="83"/>
    </row>
    <row r="109" ht="15.0" customHeight="1">
      <c r="H109" s="85" t="s">
        <v>116</v>
      </c>
      <c r="I109" s="86"/>
      <c r="J109" s="87"/>
      <c r="K109" s="93"/>
      <c r="L109" s="93"/>
    </row>
    <row r="110" ht="15.75" customHeight="1">
      <c r="H110" s="88" t="s">
        <v>117</v>
      </c>
      <c r="I110" s="87"/>
      <c r="J110" s="94">
        <f>+K95+J106</f>
        <v>262170659.6</v>
      </c>
      <c r="K110" s="95"/>
      <c r="L110" s="95"/>
      <c r="M110" s="96"/>
    </row>
    <row r="111" ht="15.75" customHeight="1">
      <c r="H111" s="97" t="s">
        <v>118</v>
      </c>
      <c r="I111" s="87"/>
      <c r="J111" s="94">
        <f>+L95</f>
        <v>372954696.2</v>
      </c>
      <c r="K111" s="95"/>
      <c r="L111" s="95"/>
    </row>
    <row r="112" ht="15.75" customHeight="1">
      <c r="H112" s="97" t="s">
        <v>119</v>
      </c>
      <c r="I112" s="87"/>
      <c r="J112" s="94">
        <f>+M95</f>
        <v>504476956.7</v>
      </c>
      <c r="K112" s="95">
        <f>J111+J112</f>
        <v>877431652.9</v>
      </c>
      <c r="L112" s="95"/>
    </row>
    <row r="113" ht="15.75" customHeight="1">
      <c r="H113" s="97" t="s">
        <v>120</v>
      </c>
      <c r="I113" s="87"/>
      <c r="J113" s="98">
        <v>1.5002117E7</v>
      </c>
      <c r="L113" s="83"/>
      <c r="M113" s="96"/>
    </row>
    <row r="114" ht="15.75" customHeight="1">
      <c r="H114" s="90" t="s">
        <v>121</v>
      </c>
      <c r="I114" s="87"/>
      <c r="J114" s="99">
        <f>+J110+J111+J112+J113</f>
        <v>1154604429</v>
      </c>
    </row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>
      <c r="J122" s="83"/>
      <c r="K122" s="83"/>
      <c r="L122" s="83"/>
      <c r="M122" s="95"/>
      <c r="N122" s="83"/>
      <c r="O122" s="83"/>
      <c r="P122" s="83"/>
      <c r="Q122" s="83"/>
      <c r="R122" s="83"/>
    </row>
    <row r="123" ht="15.75" customHeight="1">
      <c r="J123" s="83"/>
      <c r="K123" s="83"/>
      <c r="L123" s="83"/>
      <c r="M123" s="95"/>
      <c r="N123" s="83"/>
      <c r="O123" s="83"/>
      <c r="P123" s="83"/>
      <c r="Q123" s="83"/>
      <c r="R123" s="83"/>
    </row>
    <row r="124" ht="15.75" customHeight="1">
      <c r="J124" s="83"/>
      <c r="K124" s="83"/>
      <c r="L124" s="83"/>
      <c r="M124" s="95"/>
      <c r="N124" s="83"/>
      <c r="O124" s="83"/>
      <c r="P124" s="83"/>
      <c r="Q124" s="83"/>
      <c r="R124" s="83"/>
    </row>
    <row r="125" ht="15.75" customHeight="1">
      <c r="J125" s="83"/>
      <c r="K125" s="83"/>
      <c r="L125" s="83"/>
      <c r="M125" s="95"/>
      <c r="N125" s="83"/>
      <c r="O125" s="83"/>
      <c r="P125" s="83"/>
      <c r="Q125" s="83"/>
      <c r="R125" s="83"/>
    </row>
    <row r="126" ht="15.75" customHeight="1">
      <c r="J126" s="83"/>
      <c r="K126" s="83"/>
      <c r="L126" s="83"/>
      <c r="M126" s="95"/>
      <c r="N126" s="83"/>
      <c r="O126" s="83"/>
      <c r="P126" s="83"/>
      <c r="Q126" s="83"/>
      <c r="R126" s="83"/>
    </row>
    <row r="127" ht="15.75" customHeight="1">
      <c r="J127" s="83"/>
      <c r="K127" s="83"/>
      <c r="L127" s="83"/>
      <c r="M127" s="95"/>
      <c r="N127" s="83"/>
      <c r="O127" s="83"/>
      <c r="P127" s="83"/>
      <c r="Q127" s="83"/>
      <c r="R127" s="83"/>
    </row>
    <row r="128" ht="15.75" customHeight="1">
      <c r="J128" s="83"/>
      <c r="K128" s="83"/>
      <c r="L128" s="83"/>
      <c r="M128" s="95"/>
      <c r="N128" s="83"/>
      <c r="O128" s="83"/>
      <c r="P128" s="83"/>
      <c r="Q128" s="83"/>
      <c r="R128" s="83"/>
    </row>
    <row r="129" ht="15.75" customHeight="1">
      <c r="J129" s="83"/>
      <c r="K129" s="83"/>
      <c r="L129" s="83"/>
      <c r="M129" s="83"/>
      <c r="N129" s="83"/>
      <c r="O129" s="83"/>
      <c r="P129" s="83"/>
      <c r="Q129" s="83"/>
      <c r="R129" s="83"/>
    </row>
    <row r="130" ht="15.75" customHeight="1">
      <c r="J130" s="83"/>
      <c r="K130" s="83"/>
      <c r="L130" s="83"/>
      <c r="M130" s="83"/>
      <c r="N130" s="83"/>
      <c r="O130" s="83"/>
      <c r="P130" s="83"/>
      <c r="Q130" s="83"/>
      <c r="R130" s="83"/>
    </row>
    <row r="131" ht="15.75" customHeight="1">
      <c r="J131" s="83"/>
      <c r="K131" s="83"/>
      <c r="L131" s="83"/>
      <c r="M131" s="83"/>
      <c r="N131" s="83"/>
      <c r="O131" s="83"/>
      <c r="P131" s="83"/>
      <c r="Q131" s="83"/>
      <c r="R131" s="83"/>
    </row>
    <row r="132" ht="15.75" customHeight="1">
      <c r="J132" s="83"/>
      <c r="K132" s="100"/>
      <c r="L132" s="101"/>
      <c r="M132" s="102"/>
      <c r="N132" s="83"/>
      <c r="O132" s="103"/>
      <c r="P132" s="104"/>
      <c r="Q132" s="103"/>
      <c r="R132" s="83"/>
    </row>
    <row r="133" ht="15.75" customHeight="1">
      <c r="J133" s="83"/>
      <c r="K133" s="100"/>
      <c r="L133" s="101"/>
      <c r="M133" s="102"/>
      <c r="N133" s="83"/>
      <c r="O133" s="103"/>
      <c r="P133" s="104"/>
      <c r="Q133" s="103"/>
      <c r="R133" s="83"/>
    </row>
    <row r="134" ht="15.75" customHeight="1">
      <c r="J134" s="83"/>
      <c r="K134" s="100"/>
      <c r="L134" s="101"/>
      <c r="M134" s="102"/>
      <c r="N134" s="83"/>
      <c r="O134" s="103"/>
      <c r="P134" s="104"/>
      <c r="Q134" s="103"/>
      <c r="R134" s="83"/>
    </row>
    <row r="135" ht="15.75" customHeight="1">
      <c r="J135" s="83"/>
      <c r="K135" s="83"/>
      <c r="L135" s="95"/>
      <c r="M135" s="102"/>
      <c r="N135" s="83"/>
      <c r="O135" s="103"/>
      <c r="P135" s="104"/>
      <c r="Q135" s="103"/>
      <c r="R135" s="83"/>
    </row>
    <row r="136" ht="15.75" customHeight="1">
      <c r="J136" s="83"/>
      <c r="K136" s="83"/>
      <c r="L136" s="83"/>
      <c r="M136" s="102"/>
      <c r="N136" s="83"/>
      <c r="O136" s="105"/>
      <c r="P136" s="104"/>
      <c r="Q136" s="105"/>
      <c r="R136" s="83"/>
    </row>
    <row r="137" ht="15.75" customHeight="1">
      <c r="J137" s="83"/>
      <c r="K137" s="83"/>
      <c r="L137" s="83"/>
      <c r="M137" s="102"/>
      <c r="N137" s="83"/>
      <c r="O137" s="95"/>
      <c r="P137" s="104"/>
      <c r="Q137" s="95"/>
      <c r="R137" s="83"/>
    </row>
    <row r="138" ht="15.75" customHeight="1">
      <c r="J138" s="83"/>
      <c r="K138" s="83"/>
      <c r="L138" s="83"/>
      <c r="M138" s="102"/>
      <c r="N138" s="83"/>
      <c r="O138" s="95"/>
      <c r="P138" s="104"/>
      <c r="Q138" s="95"/>
      <c r="R138" s="83"/>
    </row>
    <row r="139" ht="15.75" customHeight="1">
      <c r="J139" s="83"/>
      <c r="K139" s="83"/>
      <c r="L139" s="83"/>
      <c r="M139" s="102"/>
      <c r="N139" s="83"/>
      <c r="O139" s="105"/>
      <c r="P139" s="104"/>
      <c r="Q139" s="105"/>
      <c r="R139" s="83"/>
    </row>
    <row r="140" ht="15.75" customHeight="1">
      <c r="J140" s="83"/>
      <c r="K140" s="83"/>
      <c r="L140" s="83"/>
      <c r="M140" s="102"/>
      <c r="N140" s="83"/>
      <c r="O140" s="105"/>
      <c r="P140" s="104"/>
      <c r="Q140" s="105"/>
      <c r="R140" s="83"/>
    </row>
    <row r="141" ht="15.75" customHeight="1">
      <c r="J141" s="83"/>
      <c r="K141" s="83"/>
      <c r="L141" s="83"/>
      <c r="M141" s="102"/>
      <c r="N141" s="83"/>
      <c r="O141" s="105"/>
      <c r="P141" s="104"/>
      <c r="Q141" s="105"/>
      <c r="R141" s="83"/>
    </row>
    <row r="142" ht="15.75" customHeight="1">
      <c r="J142" s="83"/>
      <c r="K142" s="83"/>
      <c r="L142" s="83"/>
      <c r="M142" s="102"/>
      <c r="N142" s="83"/>
      <c r="O142" s="105"/>
      <c r="P142" s="104"/>
      <c r="Q142" s="105"/>
      <c r="R142" s="83"/>
    </row>
    <row r="143" ht="15.75" customHeight="1">
      <c r="J143" s="83"/>
      <c r="K143" s="83"/>
      <c r="L143" s="83"/>
      <c r="M143" s="102"/>
      <c r="N143" s="83"/>
      <c r="O143" s="105"/>
      <c r="P143" s="104"/>
      <c r="Q143" s="105"/>
      <c r="R143" s="83"/>
    </row>
    <row r="144" ht="15.75" customHeight="1">
      <c r="J144" s="83"/>
      <c r="K144" s="83"/>
      <c r="L144" s="83"/>
      <c r="M144" s="102"/>
      <c r="N144" s="83"/>
      <c r="O144" s="105"/>
      <c r="P144" s="104"/>
      <c r="Q144" s="105"/>
      <c r="R144" s="83"/>
    </row>
    <row r="145" ht="15.75" customHeight="1">
      <c r="J145" s="83"/>
      <c r="K145" s="83"/>
      <c r="L145" s="83"/>
      <c r="M145" s="102"/>
      <c r="N145" s="83"/>
      <c r="O145" s="103"/>
      <c r="P145" s="104"/>
      <c r="Q145" s="103"/>
      <c r="R145" s="83"/>
    </row>
    <row r="146" ht="15.75" customHeight="1">
      <c r="J146" s="83"/>
      <c r="K146" s="83"/>
      <c r="L146" s="83"/>
      <c r="M146" s="102"/>
      <c r="N146" s="83"/>
      <c r="O146" s="103"/>
      <c r="P146" s="104"/>
      <c r="Q146" s="103"/>
      <c r="R146" s="83"/>
    </row>
    <row r="147" ht="15.75" customHeight="1">
      <c r="J147" s="83"/>
      <c r="K147" s="83"/>
      <c r="L147" s="83"/>
      <c r="M147" s="83"/>
      <c r="N147" s="83"/>
      <c r="O147" s="83"/>
      <c r="P147" s="83"/>
      <c r="Q147" s="83"/>
      <c r="R147" s="83"/>
    </row>
    <row r="148" ht="15.75" customHeight="1">
      <c r="J148" s="83"/>
      <c r="K148" s="83"/>
      <c r="L148" s="83"/>
      <c r="M148" s="83"/>
      <c r="N148" s="83"/>
      <c r="O148" s="83"/>
      <c r="P148" s="83"/>
      <c r="Q148" s="83"/>
      <c r="R148" s="83"/>
    </row>
    <row r="149" ht="15.75" customHeight="1">
      <c r="J149" s="83"/>
      <c r="K149" s="83"/>
      <c r="L149" s="83"/>
      <c r="M149" s="83"/>
      <c r="N149" s="83"/>
      <c r="O149" s="83"/>
      <c r="P149" s="83"/>
      <c r="Q149" s="83"/>
      <c r="R149" s="83"/>
    </row>
    <row r="150" ht="15.75" customHeight="1">
      <c r="J150" s="83"/>
      <c r="K150" s="83"/>
      <c r="L150" s="83"/>
      <c r="M150" s="83"/>
      <c r="N150" s="83"/>
      <c r="O150" s="83"/>
      <c r="P150" s="83"/>
      <c r="Q150" s="83"/>
      <c r="R150" s="83"/>
    </row>
    <row r="151" ht="15.75" customHeight="1">
      <c r="J151" s="83"/>
      <c r="K151" s="83"/>
      <c r="L151" s="83"/>
      <c r="M151" s="83"/>
      <c r="N151" s="83"/>
      <c r="O151" s="83"/>
      <c r="P151" s="83"/>
      <c r="Q151" s="83"/>
      <c r="R151" s="83"/>
    </row>
    <row r="152" ht="15.75" customHeight="1">
      <c r="J152" s="83"/>
      <c r="K152" s="83"/>
      <c r="L152" s="83"/>
      <c r="M152" s="83"/>
      <c r="N152" s="83"/>
      <c r="O152" s="83"/>
      <c r="P152" s="83"/>
      <c r="Q152" s="83"/>
      <c r="R152" s="83"/>
    </row>
    <row r="153" ht="15.75" customHeight="1">
      <c r="J153" s="83"/>
      <c r="K153" s="83"/>
      <c r="L153" s="83"/>
      <c r="M153" s="83"/>
      <c r="N153" s="83"/>
      <c r="O153" s="83"/>
      <c r="P153" s="83"/>
      <c r="Q153" s="83"/>
      <c r="R153" s="83"/>
    </row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12">
    <mergeCell ref="H109:J109"/>
    <mergeCell ref="H110:I110"/>
    <mergeCell ref="H111:I111"/>
    <mergeCell ref="H112:I112"/>
    <mergeCell ref="H113:I113"/>
    <mergeCell ref="H114:I114"/>
    <mergeCell ref="H101:J101"/>
    <mergeCell ref="H102:I102"/>
    <mergeCell ref="H103:I103"/>
    <mergeCell ref="H104:I104"/>
    <mergeCell ref="H105:I105"/>
    <mergeCell ref="H106:I10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2023-01-25T21:41:56Z</dcterms:created>
  <dc:creator>lizba</dc:creator>
</cp:coreProperties>
</file>